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edagogicaedu-my.sharepoint.com/personal/guerramsfn_pedagogica_edu_co/Documents/A DATADRIV/INFORMES FINANCIEROS Y CONTABLES 2024/"/>
    </mc:Choice>
  </mc:AlternateContent>
  <xr:revisionPtr revIDLastSave="0" documentId="8_{4A6FC549-5D3D-420B-BAA1-4B89737AF75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ST SIT FINAN DICIEMB 2024-2023" sheetId="10" r:id="rId1"/>
    <sheet name="EST RESUL DICIEMBRE 2024-2023" sheetId="6" r:id="rId2"/>
    <sheet name="EST SIT FINAN JUNIO-MARZO 2024" sheetId="14" state="hidden" r:id="rId3"/>
    <sheet name="EST SIT FINAN SEP Y JUN 2024" sheetId="15" state="hidden" r:id="rId4"/>
  </sheets>
  <definedNames>
    <definedName name="_xlnm.Print_Area" localSheetId="1">'EST RESUL DICIEMBRE 2024-2023'!$A$1:$G$78</definedName>
    <definedName name="_xlnm.Print_Area" localSheetId="0">'EST SIT FINAN DICIEMB 2024-2023'!$A$8:$N$68</definedName>
    <definedName name="_xlnm.Print_Area" localSheetId="2">'EST SIT FINAN JUNIO-MARZO 2024'!$A$8:$N$73</definedName>
    <definedName name="_xlnm.Print_Area" localSheetId="3">'EST SIT FINAN SEP Y JUN 2024'!$A$8:$N$73</definedName>
    <definedName name="_xlnm.Print_Titles" localSheetId="1">'EST RESUL DICIEMBRE 2024-2023'!$1:$9</definedName>
    <definedName name="_xlnm.Print_Titles" localSheetId="0">'EST SIT FINAN DICIEMB 2024-2023'!$1:$7</definedName>
    <definedName name="_xlnm.Print_Titles" localSheetId="2">'EST SIT FINAN JUNIO-MARZO 2024'!$1:$7</definedName>
    <definedName name="_xlnm.Print_Titles" localSheetId="3">'EST SIT FINAN SEP Y JUN 2024'!$1:$7</definedName>
  </definedNames>
  <calcPr calcId="191029"/>
</workbook>
</file>

<file path=xl/calcChain.xml><?xml version="1.0" encoding="utf-8"?>
<calcChain xmlns="http://schemas.openxmlformats.org/spreadsheetml/2006/main">
  <c r="K27" i="10" l="1"/>
  <c r="D18" i="10"/>
  <c r="D19" i="6"/>
  <c r="F46" i="10" l="1"/>
  <c r="E32" i="10"/>
  <c r="D34" i="10"/>
  <c r="D32" i="10" s="1"/>
  <c r="L56" i="10"/>
  <c r="F20" i="10"/>
  <c r="G20" i="10" s="1"/>
  <c r="F19" i="10"/>
  <c r="G19" i="10" s="1"/>
  <c r="E18" i="10"/>
  <c r="F18" i="10" s="1"/>
  <c r="G18" i="10" s="1"/>
  <c r="F17" i="10"/>
  <c r="G17" i="10" s="1"/>
  <c r="F62" i="10"/>
  <c r="G62" i="10" s="1"/>
  <c r="E61" i="10"/>
  <c r="D61" i="10"/>
  <c r="M62" i="10"/>
  <c r="L60" i="10"/>
  <c r="K60" i="10"/>
  <c r="F61" i="10" l="1"/>
  <c r="G61" i="10" s="1"/>
  <c r="E10" i="10" l="1"/>
  <c r="D10" i="10"/>
  <c r="F14" i="10"/>
  <c r="G14" i="10" s="1"/>
  <c r="E13" i="10"/>
  <c r="D13" i="10"/>
  <c r="F12" i="10"/>
  <c r="G12" i="10" s="1"/>
  <c r="F11" i="10"/>
  <c r="G11" i="10" s="1"/>
  <c r="E26" i="6"/>
  <c r="F10" i="10" l="1"/>
  <c r="F13" i="10"/>
  <c r="G13" i="10" s="1"/>
  <c r="M16" i="10"/>
  <c r="N16" i="10" s="1"/>
  <c r="E16" i="10" l="1"/>
  <c r="D16" i="10"/>
  <c r="D22" i="10"/>
  <c r="E22" i="10"/>
  <c r="F23" i="10"/>
  <c r="F24" i="10"/>
  <c r="G24" i="10" s="1"/>
  <c r="F25" i="10"/>
  <c r="G25" i="10" s="1"/>
  <c r="D26" i="10"/>
  <c r="E26" i="10"/>
  <c r="F27" i="10"/>
  <c r="G27" i="10" s="1"/>
  <c r="E9" i="10" l="1"/>
  <c r="D9" i="10"/>
  <c r="F22" i="10"/>
  <c r="G22" i="10" s="1"/>
  <c r="F26" i="10"/>
  <c r="G26" i="10" s="1"/>
  <c r="G23" i="10"/>
  <c r="N57" i="15" l="1"/>
  <c r="N37" i="15"/>
  <c r="N38" i="15"/>
  <c r="G49" i="15"/>
  <c r="F18" i="15"/>
  <c r="G18" i="15" s="1"/>
  <c r="F17" i="15"/>
  <c r="G17" i="15" s="1"/>
  <c r="F16" i="15"/>
  <c r="E15" i="15"/>
  <c r="D15" i="15"/>
  <c r="D9" i="15" s="1"/>
  <c r="F15" i="15" l="1"/>
  <c r="G15" i="15" s="1"/>
  <c r="G16" i="15"/>
  <c r="M63" i="15" l="1"/>
  <c r="N63" i="15" s="1"/>
  <c r="M62" i="15"/>
  <c r="M61" i="15" s="1"/>
  <c r="N61" i="15" s="1"/>
  <c r="F62" i="15"/>
  <c r="F61" i="15" s="1"/>
  <c r="G61" i="15" s="1"/>
  <c r="L61" i="15"/>
  <c r="K61" i="15"/>
  <c r="E61" i="15"/>
  <c r="D61" i="15"/>
  <c r="M60" i="15"/>
  <c r="M59" i="15" s="1"/>
  <c r="N59" i="15" s="1"/>
  <c r="L59" i="15"/>
  <c r="K59" i="15"/>
  <c r="K54" i="15" s="1"/>
  <c r="M58" i="15"/>
  <c r="N58" i="15" s="1"/>
  <c r="M57" i="15"/>
  <c r="F57" i="15"/>
  <c r="G57" i="15" s="1"/>
  <c r="M56" i="15"/>
  <c r="F56" i="15"/>
  <c r="F55" i="15" s="1"/>
  <c r="L55" i="15"/>
  <c r="K55" i="15"/>
  <c r="E55" i="15"/>
  <c r="D55" i="15"/>
  <c r="D54" i="15"/>
  <c r="F52" i="15"/>
  <c r="G52" i="15" s="1"/>
  <c r="P51" i="15"/>
  <c r="F51" i="15"/>
  <c r="G51" i="15" s="1"/>
  <c r="P50" i="15"/>
  <c r="F50" i="15"/>
  <c r="G50" i="15" s="1"/>
  <c r="R49" i="15"/>
  <c r="L46" i="15"/>
  <c r="L44" i="15" s="1"/>
  <c r="F49" i="15"/>
  <c r="F48" i="15" s="1"/>
  <c r="G48" i="15" s="1"/>
  <c r="R48" i="15"/>
  <c r="M48" i="15"/>
  <c r="N48" i="15" s="1"/>
  <c r="E48" i="15"/>
  <c r="D48" i="15"/>
  <c r="M47" i="15"/>
  <c r="F47" i="15"/>
  <c r="G47" i="15" s="1"/>
  <c r="R46" i="15"/>
  <c r="P46" i="15"/>
  <c r="F46" i="15"/>
  <c r="G46" i="15" s="1"/>
  <c r="E46" i="15"/>
  <c r="D46" i="15"/>
  <c r="D28" i="15" s="1"/>
  <c r="F45" i="15"/>
  <c r="G45" i="15" s="1"/>
  <c r="F44" i="15"/>
  <c r="G44" i="15" s="1"/>
  <c r="F43" i="15"/>
  <c r="G43" i="15" s="1"/>
  <c r="F42" i="15"/>
  <c r="G42" i="15" s="1"/>
  <c r="P41" i="15"/>
  <c r="F41" i="15"/>
  <c r="G41" i="15" s="1"/>
  <c r="F40" i="15"/>
  <c r="G40" i="15" s="1"/>
  <c r="F39" i="15"/>
  <c r="G39" i="15" s="1"/>
  <c r="P38" i="15"/>
  <c r="M38" i="15"/>
  <c r="F38" i="15"/>
  <c r="G38" i="15" s="1"/>
  <c r="M37" i="15"/>
  <c r="L37" i="15"/>
  <c r="K37" i="15"/>
  <c r="F37" i="15"/>
  <c r="G37" i="15" s="1"/>
  <c r="F36" i="15"/>
  <c r="F32" i="15" s="1"/>
  <c r="G32" i="15" s="1"/>
  <c r="R35" i="15"/>
  <c r="M35" i="15"/>
  <c r="M34" i="15" s="1"/>
  <c r="F35" i="15"/>
  <c r="G35" i="15" s="1"/>
  <c r="L34" i="15"/>
  <c r="L32" i="15" s="1"/>
  <c r="K34" i="15"/>
  <c r="F34" i="15"/>
  <c r="G34" i="15" s="1"/>
  <c r="F33" i="15"/>
  <c r="G33" i="15" s="1"/>
  <c r="K32" i="15"/>
  <c r="E32" i="15"/>
  <c r="D32" i="15"/>
  <c r="P52" i="15" s="1"/>
  <c r="F31" i="15"/>
  <c r="G31" i="15" s="1"/>
  <c r="F30" i="15"/>
  <c r="F29" i="15" s="1"/>
  <c r="E29" i="15"/>
  <c r="D29" i="15"/>
  <c r="M28" i="15"/>
  <c r="N28" i="15" s="1"/>
  <c r="M27" i="15"/>
  <c r="N27" i="15" s="1"/>
  <c r="M26" i="15"/>
  <c r="N26" i="15" s="1"/>
  <c r="F26" i="15"/>
  <c r="F25" i="15" s="1"/>
  <c r="G25" i="15" s="1"/>
  <c r="L25" i="15"/>
  <c r="K25" i="15"/>
  <c r="S28" i="15" s="1"/>
  <c r="E25" i="15"/>
  <c r="D25" i="15"/>
  <c r="S24" i="15"/>
  <c r="F24" i="15"/>
  <c r="G24" i="15" s="1"/>
  <c r="P23" i="15"/>
  <c r="M23" i="15"/>
  <c r="N23" i="15" s="1"/>
  <c r="F23" i="15"/>
  <c r="G23" i="15" s="1"/>
  <c r="P22" i="15"/>
  <c r="L22" i="15"/>
  <c r="K22" i="15"/>
  <c r="F22" i="15"/>
  <c r="F21" i="15" s="1"/>
  <c r="S21" i="15"/>
  <c r="P21" i="15"/>
  <c r="E21" i="15"/>
  <c r="E9" i="15" s="1"/>
  <c r="D21" i="15"/>
  <c r="M20" i="15"/>
  <c r="N20" i="15" s="1"/>
  <c r="L19" i="15"/>
  <c r="K19" i="15"/>
  <c r="S18" i="15"/>
  <c r="R17" i="15"/>
  <c r="P17" i="15"/>
  <c r="M17" i="15"/>
  <c r="N17" i="15" s="1"/>
  <c r="R16" i="15"/>
  <c r="M16" i="15"/>
  <c r="M15" i="15"/>
  <c r="N15" i="15" s="1"/>
  <c r="M14" i="15"/>
  <c r="N14" i="15" s="1"/>
  <c r="R13" i="15"/>
  <c r="M13" i="15"/>
  <c r="N13" i="15" s="1"/>
  <c r="F13" i="15"/>
  <c r="G13" i="15" s="1"/>
  <c r="S12" i="15"/>
  <c r="M12" i="15"/>
  <c r="N12" i="15" s="1"/>
  <c r="F12" i="15"/>
  <c r="G12" i="15" s="1"/>
  <c r="N11" i="15"/>
  <c r="M11" i="15"/>
  <c r="F11" i="15"/>
  <c r="G11" i="15" s="1"/>
  <c r="L10" i="15"/>
  <c r="K10" i="15"/>
  <c r="R19" i="15" s="1"/>
  <c r="E10" i="15"/>
  <c r="D10" i="15"/>
  <c r="N60" i="15" l="1"/>
  <c r="L54" i="15"/>
  <c r="M55" i="15"/>
  <c r="M32" i="15"/>
  <c r="N32" i="15" s="1"/>
  <c r="N35" i="15"/>
  <c r="L9" i="15"/>
  <c r="L40" i="15" s="1"/>
  <c r="L53" i="15" s="1"/>
  <c r="M19" i="15"/>
  <c r="N19" i="15" s="1"/>
  <c r="E54" i="15"/>
  <c r="G62" i="15"/>
  <c r="G56" i="15"/>
  <c r="E28" i="15"/>
  <c r="G26" i="15"/>
  <c r="G21" i="15"/>
  <c r="F9" i="15"/>
  <c r="G22" i="15"/>
  <c r="P12" i="15"/>
  <c r="E53" i="15"/>
  <c r="D53" i="15"/>
  <c r="G29" i="15"/>
  <c r="F28" i="15"/>
  <c r="G28" i="15" s="1"/>
  <c r="G55" i="15"/>
  <c r="F54" i="15"/>
  <c r="N55" i="15"/>
  <c r="M54" i="15"/>
  <c r="M10" i="15"/>
  <c r="P13" i="15"/>
  <c r="Q9" i="15"/>
  <c r="G30" i="15"/>
  <c r="G36" i="15"/>
  <c r="N56" i="15"/>
  <c r="N62" i="15"/>
  <c r="K9" i="15"/>
  <c r="K40" i="15" s="1"/>
  <c r="F10" i="15"/>
  <c r="R15" i="15"/>
  <c r="R18" i="15"/>
  <c r="M25" i="15"/>
  <c r="N25" i="15" s="1"/>
  <c r="P31" i="15"/>
  <c r="N34" i="15"/>
  <c r="N47" i="15"/>
  <c r="P49" i="15"/>
  <c r="P9" i="15"/>
  <c r="D82" i="15"/>
  <c r="P40" i="15"/>
  <c r="P43" i="15"/>
  <c r="P47" i="15"/>
  <c r="P48" i="15"/>
  <c r="P16" i="15"/>
  <c r="M22" i="15"/>
  <c r="N22" i="15" s="1"/>
  <c r="P25" i="15"/>
  <c r="Q43" i="15"/>
  <c r="K19" i="10"/>
  <c r="L19" i="10"/>
  <c r="M20" i="10"/>
  <c r="M19" i="10" s="1"/>
  <c r="N19" i="10" s="1"/>
  <c r="K22" i="10"/>
  <c r="L22" i="10"/>
  <c r="M23" i="10"/>
  <c r="M22" i="10" s="1"/>
  <c r="N22" i="10" s="1"/>
  <c r="N20" i="10" l="1"/>
  <c r="E78" i="15"/>
  <c r="Z53" i="15"/>
  <c r="E80" i="15"/>
  <c r="E77" i="15"/>
  <c r="G10" i="15"/>
  <c r="N10" i="15"/>
  <c r="M9" i="15"/>
  <c r="D80" i="15"/>
  <c r="D77" i="15"/>
  <c r="D83" i="15"/>
  <c r="D78" i="15"/>
  <c r="I78" i="15" s="1"/>
  <c r="K78" i="15" s="1"/>
  <c r="Q54" i="15"/>
  <c r="N23" i="10"/>
  <c r="I80" i="15" l="1"/>
  <c r="K80" i="15" s="1"/>
  <c r="I77" i="15"/>
  <c r="K77" i="15" s="1"/>
  <c r="N9" i="15"/>
  <c r="M40" i="15"/>
  <c r="F53" i="15"/>
  <c r="G53" i="15" s="1"/>
  <c r="G9" i="15"/>
  <c r="F68" i="6"/>
  <c r="G68" i="6" s="1"/>
  <c r="N40" i="15" l="1"/>
  <c r="F18" i="14"/>
  <c r="G18" i="14" s="1"/>
  <c r="F17" i="14"/>
  <c r="G17" i="14" s="1"/>
  <c r="F16" i="14"/>
  <c r="G16" i="14" s="1"/>
  <c r="F15" i="14"/>
  <c r="E15" i="14"/>
  <c r="D15" i="14"/>
  <c r="N60" i="14"/>
  <c r="M63" i="14"/>
  <c r="N63" i="14" s="1"/>
  <c r="M62" i="14"/>
  <c r="N62" i="14" s="1"/>
  <c r="F62" i="14"/>
  <c r="G62" i="14" s="1"/>
  <c r="L61" i="14"/>
  <c r="K61" i="14"/>
  <c r="F61" i="14"/>
  <c r="G61" i="14" s="1"/>
  <c r="E61" i="14"/>
  <c r="D61" i="14"/>
  <c r="M60" i="14"/>
  <c r="M59" i="14" s="1"/>
  <c r="N59" i="14" s="1"/>
  <c r="L59" i="14"/>
  <c r="L54" i="14" s="1"/>
  <c r="K59" i="14"/>
  <c r="M58" i="14"/>
  <c r="N58" i="14" s="1"/>
  <c r="M57" i="14"/>
  <c r="N57" i="14" s="1"/>
  <c r="F57" i="14"/>
  <c r="G57" i="14" s="1"/>
  <c r="M56" i="14"/>
  <c r="F56" i="14"/>
  <c r="G56" i="14" s="1"/>
  <c r="L55" i="14"/>
  <c r="K55" i="14"/>
  <c r="E55" i="14"/>
  <c r="E54" i="14" s="1"/>
  <c r="D55" i="14"/>
  <c r="D54" i="14" s="1"/>
  <c r="K54" i="14"/>
  <c r="F52" i="14"/>
  <c r="G52" i="14" s="1"/>
  <c r="F51" i="14"/>
  <c r="G51" i="14" s="1"/>
  <c r="F50" i="14"/>
  <c r="G50" i="14" s="1"/>
  <c r="R49" i="14"/>
  <c r="L46" i="14"/>
  <c r="L44" i="14" s="1"/>
  <c r="F49" i="14"/>
  <c r="R48" i="14"/>
  <c r="M48" i="14"/>
  <c r="N48" i="14" s="1"/>
  <c r="E48" i="14"/>
  <c r="D48" i="14"/>
  <c r="M47" i="14"/>
  <c r="N47" i="14" s="1"/>
  <c r="F47" i="14"/>
  <c r="G47" i="14" s="1"/>
  <c r="R46" i="14"/>
  <c r="F46" i="14"/>
  <c r="E46" i="14"/>
  <c r="D46" i="14"/>
  <c r="F45" i="14"/>
  <c r="G45" i="14" s="1"/>
  <c r="F44" i="14"/>
  <c r="G44" i="14" s="1"/>
  <c r="F43" i="14"/>
  <c r="G43" i="14" s="1"/>
  <c r="F42" i="14"/>
  <c r="G42" i="14" s="1"/>
  <c r="F41" i="14"/>
  <c r="G41" i="14" s="1"/>
  <c r="F40" i="14"/>
  <c r="G40" i="14" s="1"/>
  <c r="F39" i="14"/>
  <c r="G39" i="14" s="1"/>
  <c r="P38" i="14"/>
  <c r="M38" i="14"/>
  <c r="M37" i="14" s="1"/>
  <c r="N37" i="14" s="1"/>
  <c r="F38" i="14"/>
  <c r="G38" i="14" s="1"/>
  <c r="L37" i="14"/>
  <c r="K37" i="14"/>
  <c r="F37" i="14"/>
  <c r="G37" i="14" s="1"/>
  <c r="F36" i="14"/>
  <c r="G36" i="14" s="1"/>
  <c r="R35" i="14"/>
  <c r="M35" i="14"/>
  <c r="N35" i="14" s="1"/>
  <c r="F35" i="14"/>
  <c r="G35" i="14" s="1"/>
  <c r="L34" i="14"/>
  <c r="K34" i="14"/>
  <c r="K32" i="14" s="1"/>
  <c r="F34" i="14"/>
  <c r="G34" i="14" s="1"/>
  <c r="F33" i="14"/>
  <c r="E32" i="14"/>
  <c r="D32" i="14"/>
  <c r="P50" i="14" s="1"/>
  <c r="F31" i="14"/>
  <c r="G31" i="14" s="1"/>
  <c r="F30" i="14"/>
  <c r="E29" i="14"/>
  <c r="D29" i="14"/>
  <c r="D28" i="14" s="1"/>
  <c r="M28" i="14"/>
  <c r="N28" i="14" s="1"/>
  <c r="M27" i="14"/>
  <c r="N27" i="14" s="1"/>
  <c r="M26" i="14"/>
  <c r="N26" i="14" s="1"/>
  <c r="F26" i="14"/>
  <c r="F25" i="14" s="1"/>
  <c r="G25" i="14" s="1"/>
  <c r="L25" i="14"/>
  <c r="K25" i="14"/>
  <c r="S28" i="14" s="1"/>
  <c r="E25" i="14"/>
  <c r="D25" i="14"/>
  <c r="F24" i="14"/>
  <c r="G24" i="14" s="1"/>
  <c r="P23" i="14"/>
  <c r="F23" i="14"/>
  <c r="P22" i="14"/>
  <c r="M22" i="14"/>
  <c r="M21" i="14" s="1"/>
  <c r="F22" i="14"/>
  <c r="G22" i="14" s="1"/>
  <c r="P21" i="14"/>
  <c r="L21" i="14"/>
  <c r="K21" i="14"/>
  <c r="S24" i="14" s="1"/>
  <c r="E21" i="14"/>
  <c r="D21" i="14"/>
  <c r="D9" i="14" s="1"/>
  <c r="D82" i="14" s="1"/>
  <c r="M19" i="14"/>
  <c r="M18" i="14" s="1"/>
  <c r="N18" i="14" s="1"/>
  <c r="S18" i="14"/>
  <c r="R18" i="14"/>
  <c r="L18" i="14"/>
  <c r="K18" i="14"/>
  <c r="P17" i="14"/>
  <c r="M16" i="14"/>
  <c r="N16" i="14" s="1"/>
  <c r="N15" i="14"/>
  <c r="M15" i="14"/>
  <c r="N14" i="14"/>
  <c r="M14" i="14"/>
  <c r="N13" i="14"/>
  <c r="M13" i="14"/>
  <c r="F13" i="14"/>
  <c r="G13" i="14" s="1"/>
  <c r="M12" i="14"/>
  <c r="N12" i="14" s="1"/>
  <c r="F12" i="14"/>
  <c r="G12" i="14" s="1"/>
  <c r="M11" i="14"/>
  <c r="N11" i="14" s="1"/>
  <c r="F11" i="14"/>
  <c r="G11" i="14" s="1"/>
  <c r="L10" i="14"/>
  <c r="K10" i="14"/>
  <c r="R19" i="14" s="1"/>
  <c r="E10" i="14"/>
  <c r="E9" i="14" s="1"/>
  <c r="D10" i="14"/>
  <c r="E53" i="14" l="1"/>
  <c r="K9" i="14"/>
  <c r="K40" i="14" s="1"/>
  <c r="R16" i="14"/>
  <c r="F21" i="14"/>
  <c r="G21" i="14" s="1"/>
  <c r="G46" i="14"/>
  <c r="N38" i="14"/>
  <c r="P41" i="14"/>
  <c r="S12" i="14"/>
  <c r="R15" i="14"/>
  <c r="R17" i="14"/>
  <c r="N21" i="14"/>
  <c r="F29" i="14"/>
  <c r="L32" i="14"/>
  <c r="M61" i="14"/>
  <c r="N61" i="14" s="1"/>
  <c r="G15" i="14"/>
  <c r="P12" i="14"/>
  <c r="P16" i="14"/>
  <c r="P31" i="14"/>
  <c r="M55" i="14"/>
  <c r="N55" i="14" s="1"/>
  <c r="M34" i="14"/>
  <c r="N34" i="14" s="1"/>
  <c r="M25" i="14"/>
  <c r="N25" i="14" s="1"/>
  <c r="L9" i="14"/>
  <c r="L40" i="14" s="1"/>
  <c r="L53" i="14" s="1"/>
  <c r="M10" i="14"/>
  <c r="N10" i="14" s="1"/>
  <c r="E28" i="14"/>
  <c r="F32" i="14"/>
  <c r="G32" i="14" s="1"/>
  <c r="G26" i="14"/>
  <c r="E78" i="14"/>
  <c r="G29" i="14"/>
  <c r="F48" i="14"/>
  <c r="G48" i="14" s="1"/>
  <c r="F55" i="14"/>
  <c r="G23" i="14"/>
  <c r="G30" i="14"/>
  <c r="R13" i="14"/>
  <c r="S21" i="14"/>
  <c r="P51" i="14"/>
  <c r="N56" i="14"/>
  <c r="P9" i="14"/>
  <c r="P13" i="14"/>
  <c r="P49" i="14"/>
  <c r="P52" i="14"/>
  <c r="F10" i="14"/>
  <c r="F9" i="14" s="1"/>
  <c r="N19" i="14"/>
  <c r="P48" i="14"/>
  <c r="N22" i="14"/>
  <c r="P25" i="14"/>
  <c r="G33" i="14"/>
  <c r="D53" i="14"/>
  <c r="P40" i="14" s="1"/>
  <c r="P43" i="14"/>
  <c r="P47" i="14"/>
  <c r="P46" i="14"/>
  <c r="F16" i="10"/>
  <c r="F9" i="10" s="1"/>
  <c r="D78" i="14" l="1"/>
  <c r="D77" i="14"/>
  <c r="D83" i="14"/>
  <c r="M54" i="14"/>
  <c r="M32" i="14"/>
  <c r="N32" i="14" s="1"/>
  <c r="M9" i="14"/>
  <c r="N9" i="14" s="1"/>
  <c r="E77" i="14"/>
  <c r="I77" i="14" s="1"/>
  <c r="K77" i="14" s="1"/>
  <c r="E80" i="14"/>
  <c r="I78" i="14"/>
  <c r="K78" i="14" s="1"/>
  <c r="G55" i="14"/>
  <c r="F54" i="14"/>
  <c r="F28" i="14"/>
  <c r="G28" i="14" s="1"/>
  <c r="Q54" i="14"/>
  <c r="G10" i="14"/>
  <c r="Q43" i="14"/>
  <c r="D80" i="14"/>
  <c r="Q9" i="14"/>
  <c r="G16" i="10"/>
  <c r="M40" i="14" l="1"/>
  <c r="N40" i="14" s="1"/>
  <c r="Z53" i="14"/>
  <c r="I80" i="14"/>
  <c r="K80" i="14" s="1"/>
  <c r="G9" i="14"/>
  <c r="F53" i="14"/>
  <c r="G53" i="14" s="1"/>
  <c r="L10" i="10" l="1"/>
  <c r="K10" i="10"/>
  <c r="D49" i="10"/>
  <c r="E49" i="10"/>
  <c r="F51" i="10"/>
  <c r="G51" i="10" s="1"/>
  <c r="F52" i="10"/>
  <c r="G52" i="10" s="1"/>
  <c r="F53" i="10"/>
  <c r="G53" i="10" s="1"/>
  <c r="F50" i="10" l="1"/>
  <c r="F49" i="10" l="1"/>
  <c r="E18" i="6"/>
  <c r="D18" i="6"/>
  <c r="F21" i="6"/>
  <c r="F20" i="6" s="1"/>
  <c r="E20" i="6"/>
  <c r="D20" i="6"/>
  <c r="M38" i="10" l="1"/>
  <c r="N38" i="10" s="1"/>
  <c r="L37" i="10"/>
  <c r="K37" i="10"/>
  <c r="M37" i="10" l="1"/>
  <c r="N37" i="10" s="1"/>
  <c r="F48" i="6" l="1"/>
  <c r="G48" i="6" s="1"/>
  <c r="D14" i="6"/>
  <c r="E14" i="6"/>
  <c r="F15" i="6"/>
  <c r="G15" i="6" s="1"/>
  <c r="M65" i="10" l="1"/>
  <c r="N65" i="10" s="1"/>
  <c r="E62" i="6" l="1"/>
  <c r="D62" i="6"/>
  <c r="M61" i="10" l="1"/>
  <c r="N61" i="10" l="1"/>
  <c r="M60" i="10"/>
  <c r="N60" i="10"/>
  <c r="M48" i="10" l="1"/>
  <c r="N48" i="10" s="1"/>
  <c r="M49" i="10"/>
  <c r="N49" i="10" s="1"/>
  <c r="M35" i="10"/>
  <c r="N35" i="10" s="1"/>
  <c r="E29" i="10"/>
  <c r="D29" i="10"/>
  <c r="F31" i="10"/>
  <c r="G31" i="10" s="1"/>
  <c r="F30" i="10"/>
  <c r="G30" i="10" s="1"/>
  <c r="F29" i="10" l="1"/>
  <c r="G29" i="10" s="1"/>
  <c r="F71" i="6" l="1"/>
  <c r="G71" i="6" s="1"/>
  <c r="F33" i="10" l="1"/>
  <c r="F34" i="10"/>
  <c r="G34" i="10" s="1"/>
  <c r="F35" i="10"/>
  <c r="G35" i="10" s="1"/>
  <c r="F36" i="10"/>
  <c r="G36" i="10" s="1"/>
  <c r="F37" i="10"/>
  <c r="G37" i="10" s="1"/>
  <c r="F38" i="10"/>
  <c r="G38" i="10" s="1"/>
  <c r="F39" i="10"/>
  <c r="G39" i="10" s="1"/>
  <c r="F40" i="10"/>
  <c r="G40" i="10" s="1"/>
  <c r="F41" i="10"/>
  <c r="G41" i="10" s="1"/>
  <c r="F42" i="10"/>
  <c r="G42" i="10" s="1"/>
  <c r="F43" i="10"/>
  <c r="G43" i="10" s="1"/>
  <c r="F44" i="10"/>
  <c r="G44" i="10" s="1"/>
  <c r="F45" i="10"/>
  <c r="G45" i="10" s="1"/>
  <c r="D47" i="10"/>
  <c r="D28" i="10" s="1"/>
  <c r="E47" i="10"/>
  <c r="F48" i="10"/>
  <c r="G48" i="10" s="1"/>
  <c r="D56" i="10"/>
  <c r="D55" i="10" s="1"/>
  <c r="E56" i="10"/>
  <c r="E55" i="10" s="1"/>
  <c r="F57" i="10"/>
  <c r="G57" i="10" s="1"/>
  <c r="F58" i="10"/>
  <c r="G58" i="10" s="1"/>
  <c r="D24" i="6"/>
  <c r="G33" i="10" l="1"/>
  <c r="F32" i="10"/>
  <c r="E28" i="10"/>
  <c r="F56" i="10"/>
  <c r="G49" i="10"/>
  <c r="G32" i="10"/>
  <c r="F47" i="10"/>
  <c r="G47" i="10" s="1"/>
  <c r="K34" i="10"/>
  <c r="L34" i="10"/>
  <c r="M34" i="10"/>
  <c r="G56" i="10" l="1"/>
  <c r="F55" i="10"/>
  <c r="F28" i="10"/>
  <c r="G28" i="10" s="1"/>
  <c r="L32" i="10"/>
  <c r="K32" i="10"/>
  <c r="M32" i="10"/>
  <c r="N34" i="10"/>
  <c r="N32" i="10" l="1"/>
  <c r="L25" i="10" l="1"/>
  <c r="L9" i="10" s="1"/>
  <c r="K25" i="10"/>
  <c r="K9" i="10" s="1"/>
  <c r="M28" i="10"/>
  <c r="N28" i="10" s="1"/>
  <c r="M27" i="10"/>
  <c r="N27" i="10" s="1"/>
  <c r="M26" i="10"/>
  <c r="N26" i="10" s="1"/>
  <c r="M25" i="10" l="1"/>
  <c r="M59" i="10"/>
  <c r="N59" i="10" s="1"/>
  <c r="K56" i="10"/>
  <c r="D52" i="6" l="1"/>
  <c r="E52" i="6"/>
  <c r="F53" i="6"/>
  <c r="G53" i="6" s="1"/>
  <c r="D42" i="6" l="1"/>
  <c r="D40" i="6" s="1"/>
  <c r="D70" i="6"/>
  <c r="D69" i="6" s="1"/>
  <c r="M69" i="6" s="1"/>
  <c r="K22" i="6"/>
  <c r="L22" i="6" s="1"/>
  <c r="P22" i="6" s="1"/>
  <c r="D28" i="6"/>
  <c r="D10" i="6" s="1"/>
  <c r="D61" i="6"/>
  <c r="E24" i="6"/>
  <c r="E28" i="6"/>
  <c r="E34" i="6"/>
  <c r="E37" i="6"/>
  <c r="E42" i="6"/>
  <c r="E40" i="6" s="1"/>
  <c r="E61" i="6"/>
  <c r="E70" i="6"/>
  <c r="E69" i="6" s="1"/>
  <c r="D34" i="6"/>
  <c r="K32" i="6" s="1"/>
  <c r="L32" i="6" s="1"/>
  <c r="P32" i="6" s="1"/>
  <c r="D37" i="6"/>
  <c r="F73" i="6"/>
  <c r="G73" i="6" s="1"/>
  <c r="F38" i="6"/>
  <c r="F37" i="6" s="1"/>
  <c r="M64" i="10"/>
  <c r="M63" i="10" s="1"/>
  <c r="L63" i="10"/>
  <c r="L55" i="10" s="1"/>
  <c r="K63" i="10"/>
  <c r="K55" i="10" s="1"/>
  <c r="M58" i="10"/>
  <c r="N58" i="10" s="1"/>
  <c r="M57" i="10"/>
  <c r="F72" i="6"/>
  <c r="F67" i="6"/>
  <c r="G67" i="6" s="1"/>
  <c r="F30" i="6"/>
  <c r="G30" i="6" s="1"/>
  <c r="F57" i="6"/>
  <c r="G57" i="6" s="1"/>
  <c r="F54" i="6"/>
  <c r="F27" i="6"/>
  <c r="G27" i="6" s="1"/>
  <c r="F29" i="6"/>
  <c r="G29" i="6" s="1"/>
  <c r="F56" i="6"/>
  <c r="G56" i="6" s="1"/>
  <c r="F55" i="6"/>
  <c r="G55" i="6" s="1"/>
  <c r="F50" i="6"/>
  <c r="G50" i="6" s="1"/>
  <c r="F49" i="6"/>
  <c r="G49" i="6" s="1"/>
  <c r="M15" i="10"/>
  <c r="N15" i="10" s="1"/>
  <c r="R19" i="10"/>
  <c r="P43" i="10"/>
  <c r="D54" i="10"/>
  <c r="M14" i="10"/>
  <c r="N14" i="10" s="1"/>
  <c r="P22" i="10"/>
  <c r="M13" i="10"/>
  <c r="N13" i="10" s="1"/>
  <c r="M12" i="10"/>
  <c r="N12" i="10" s="1"/>
  <c r="M11" i="10"/>
  <c r="P23" i="10"/>
  <c r="P17" i="10"/>
  <c r="P21" i="10"/>
  <c r="F74" i="6"/>
  <c r="G74" i="6" s="1"/>
  <c r="F66" i="6"/>
  <c r="G66" i="6" s="1"/>
  <c r="F64" i="6"/>
  <c r="F47" i="6"/>
  <c r="G47" i="6" s="1"/>
  <c r="F46" i="6"/>
  <c r="G46" i="6" s="1"/>
  <c r="F45" i="6"/>
  <c r="G45" i="6" s="1"/>
  <c r="F44" i="6"/>
  <c r="G44" i="6" s="1"/>
  <c r="F43" i="6"/>
  <c r="G43" i="6" s="1"/>
  <c r="F35" i="6"/>
  <c r="G35" i="6" s="1"/>
  <c r="F26" i="6"/>
  <c r="G26" i="6" s="1"/>
  <c r="F25" i="6"/>
  <c r="G25" i="6" s="1"/>
  <c r="F19" i="6"/>
  <c r="F16" i="6"/>
  <c r="F14" i="6" s="1"/>
  <c r="G14" i="6" s="1"/>
  <c r="J78" i="6"/>
  <c r="K71" i="6"/>
  <c r="L71" i="6" s="1"/>
  <c r="P71" i="6" s="1"/>
  <c r="K66" i="6"/>
  <c r="L66" i="6" s="1"/>
  <c r="P66" i="6" s="1"/>
  <c r="K65" i="6"/>
  <c r="L65" i="6" s="1"/>
  <c r="P65" i="6" s="1"/>
  <c r="P63" i="6"/>
  <c r="K63" i="6"/>
  <c r="K57" i="6"/>
  <c r="L57" i="6" s="1"/>
  <c r="P57" i="6" s="1"/>
  <c r="P55" i="6"/>
  <c r="K55" i="6"/>
  <c r="K52" i="6"/>
  <c r="L52" i="6" s="1"/>
  <c r="P52" i="6" s="1"/>
  <c r="K51" i="6"/>
  <c r="L51" i="6" s="1"/>
  <c r="P51" i="6" s="1"/>
  <c r="P50" i="6"/>
  <c r="K50" i="6"/>
  <c r="K49" i="6"/>
  <c r="L49" i="6" s="1"/>
  <c r="P49" i="6" s="1"/>
  <c r="K47" i="6"/>
  <c r="L47" i="6" s="1"/>
  <c r="P47" i="6" s="1"/>
  <c r="K45" i="6"/>
  <c r="L45" i="6" s="1"/>
  <c r="P45" i="6" s="1"/>
  <c r="K43" i="6"/>
  <c r="L43" i="6" s="1"/>
  <c r="P43" i="6" s="1"/>
  <c r="K42" i="6"/>
  <c r="L42" i="6" s="1"/>
  <c r="P42" i="6" s="1"/>
  <c r="M47" i="6"/>
  <c r="P40" i="6"/>
  <c r="K40" i="6"/>
  <c r="P38" i="6"/>
  <c r="K38" i="6"/>
  <c r="K37" i="6"/>
  <c r="L37" i="6" s="1"/>
  <c r="P37" i="6" s="1"/>
  <c r="K36" i="6"/>
  <c r="L36" i="6" s="1"/>
  <c r="P36" i="6" s="1"/>
  <c r="K34" i="6"/>
  <c r="L34" i="6" s="1"/>
  <c r="P34" i="6" s="1"/>
  <c r="K33" i="6"/>
  <c r="L33" i="6" s="1"/>
  <c r="P33" i="6" s="1"/>
  <c r="P30" i="6"/>
  <c r="K30" i="6"/>
  <c r="P28" i="6"/>
  <c r="K28" i="6"/>
  <c r="K25" i="6"/>
  <c r="L25" i="6" s="1"/>
  <c r="P25" i="6" s="1"/>
  <c r="K24" i="6"/>
  <c r="L24" i="6" s="1"/>
  <c r="P24" i="6" s="1"/>
  <c r="P23" i="6"/>
  <c r="K23" i="6"/>
  <c r="K19" i="6"/>
  <c r="L19" i="6" s="1"/>
  <c r="P19" i="6" s="1"/>
  <c r="K18" i="6"/>
  <c r="L18" i="6" s="1"/>
  <c r="P18" i="6" s="1"/>
  <c r="P17" i="6"/>
  <c r="K17" i="6"/>
  <c r="K14" i="6"/>
  <c r="L14" i="6" s="1"/>
  <c r="P14" i="6" s="1"/>
  <c r="K13" i="6"/>
  <c r="L13" i="6" s="1"/>
  <c r="P13" i="6" s="1"/>
  <c r="P11" i="6"/>
  <c r="K11" i="6"/>
  <c r="K64" i="6"/>
  <c r="L64" i="6" s="1"/>
  <c r="P64" i="6" s="1"/>
  <c r="M64" i="6"/>
  <c r="M65" i="6"/>
  <c r="M66" i="6"/>
  <c r="M71" i="6"/>
  <c r="K39" i="6"/>
  <c r="L39" i="6" s="1"/>
  <c r="P39" i="6" s="1"/>
  <c r="K41" i="6"/>
  <c r="L41" i="6" s="1"/>
  <c r="P41" i="6" s="1"/>
  <c r="M41" i="6"/>
  <c r="M42" i="6"/>
  <c r="M43" i="6"/>
  <c r="M45" i="6"/>
  <c r="M57" i="6"/>
  <c r="K12" i="6"/>
  <c r="L12" i="6" s="1"/>
  <c r="P12" i="6" s="1"/>
  <c r="K73" i="6"/>
  <c r="L73" i="6" s="1"/>
  <c r="P73" i="6" s="1"/>
  <c r="N11" i="10" l="1"/>
  <c r="M10" i="10"/>
  <c r="M9" i="10" s="1"/>
  <c r="E10" i="6"/>
  <c r="G19" i="6"/>
  <c r="F18" i="6"/>
  <c r="K16" i="6"/>
  <c r="L16" i="6" s="1"/>
  <c r="P16" i="6" s="1"/>
  <c r="G64" i="6"/>
  <c r="F62" i="6"/>
  <c r="G62" i="6" s="1"/>
  <c r="N63" i="10"/>
  <c r="E54" i="10"/>
  <c r="F34" i="6"/>
  <c r="G34" i="6" s="1"/>
  <c r="M70" i="6"/>
  <c r="K70" i="6"/>
  <c r="L70" i="6" s="1"/>
  <c r="P70" i="6" s="1"/>
  <c r="E32" i="6"/>
  <c r="F24" i="6"/>
  <c r="G24" i="6" s="1"/>
  <c r="G16" i="6"/>
  <c r="N57" i="10"/>
  <c r="M56" i="10"/>
  <c r="N56" i="10" s="1"/>
  <c r="D32" i="6"/>
  <c r="M37" i="6" s="1"/>
  <c r="K35" i="6"/>
  <c r="L35" i="6" s="1"/>
  <c r="P35" i="6" s="1"/>
  <c r="K69" i="6"/>
  <c r="L69" i="6" s="1"/>
  <c r="P69" i="6" s="1"/>
  <c r="K46" i="6"/>
  <c r="L46" i="6" s="1"/>
  <c r="P46" i="6" s="1"/>
  <c r="M46" i="6"/>
  <c r="K44" i="6"/>
  <c r="L44" i="6" s="1"/>
  <c r="P44" i="6" s="1"/>
  <c r="M44" i="6"/>
  <c r="K62" i="6"/>
  <c r="L62" i="6" s="1"/>
  <c r="P62" i="6" s="1"/>
  <c r="M61" i="6"/>
  <c r="K61" i="6"/>
  <c r="L61" i="6" s="1"/>
  <c r="P61" i="6" s="1"/>
  <c r="M62" i="6"/>
  <c r="F28" i="6"/>
  <c r="G28" i="6" s="1"/>
  <c r="P26" i="6"/>
  <c r="K26" i="6"/>
  <c r="P41" i="10"/>
  <c r="F70" i="6"/>
  <c r="F52" i="6"/>
  <c r="G52" i="6" s="1"/>
  <c r="F42" i="6"/>
  <c r="G42" i="6" s="1"/>
  <c r="R15" i="10"/>
  <c r="P50" i="10"/>
  <c r="P49" i="10"/>
  <c r="P48" i="10"/>
  <c r="L40" i="10"/>
  <c r="N25" i="10"/>
  <c r="N64" i="10"/>
  <c r="R17" i="10"/>
  <c r="R16" i="10"/>
  <c r="R18" i="10"/>
  <c r="P53" i="10"/>
  <c r="P47" i="10"/>
  <c r="P52" i="10"/>
  <c r="P51" i="10"/>
  <c r="R13" i="10"/>
  <c r="K40" i="10"/>
  <c r="G37" i="6"/>
  <c r="G38" i="6"/>
  <c r="M55" i="10" l="1"/>
  <c r="G18" i="6"/>
  <c r="F10" i="6"/>
  <c r="G10" i="6" s="1"/>
  <c r="F54" i="10"/>
  <c r="G54" i="10" s="1"/>
  <c r="F32" i="6"/>
  <c r="G32" i="6" s="1"/>
  <c r="E59" i="6"/>
  <c r="E76" i="6" s="1"/>
  <c r="L50" i="10" s="1"/>
  <c r="M26" i="6"/>
  <c r="M12" i="6"/>
  <c r="M23" i="6"/>
  <c r="K10" i="6"/>
  <c r="L10" i="6" s="1"/>
  <c r="P10" i="6" s="1"/>
  <c r="D59" i="6"/>
  <c r="M34" i="6"/>
  <c r="K31" i="6"/>
  <c r="L31" i="6" s="1"/>
  <c r="P31" i="6" s="1"/>
  <c r="N31" i="6"/>
  <c r="N39" i="6" s="1"/>
  <c r="M32" i="6"/>
  <c r="M35" i="6"/>
  <c r="M36" i="6"/>
  <c r="M33" i="6"/>
  <c r="M31" i="6"/>
  <c r="M10" i="6"/>
  <c r="M18" i="6"/>
  <c r="M24" i="6"/>
  <c r="F40" i="6"/>
  <c r="G40" i="6" s="1"/>
  <c r="F61" i="6"/>
  <c r="G61" i="6" s="1"/>
  <c r="P9" i="10"/>
  <c r="Q43" i="10"/>
  <c r="F69" i="6"/>
  <c r="G69" i="6" s="1"/>
  <c r="G70" i="6"/>
  <c r="P16" i="10"/>
  <c r="P13" i="10"/>
  <c r="P12" i="10"/>
  <c r="P25" i="10"/>
  <c r="P38" i="10"/>
  <c r="P31" i="10"/>
  <c r="S12" i="10"/>
  <c r="S18" i="10"/>
  <c r="S21" i="10"/>
  <c r="R35" i="10"/>
  <c r="S24" i="10"/>
  <c r="S28" i="10"/>
  <c r="M40" i="10"/>
  <c r="N10" i="10"/>
  <c r="G10" i="10"/>
  <c r="L47" i="10" l="1"/>
  <c r="L44" i="10" s="1"/>
  <c r="L54" i="10" s="1"/>
  <c r="Z54" i="10" s="1"/>
  <c r="N40" i="10"/>
  <c r="K59" i="6"/>
  <c r="L59" i="6" s="1"/>
  <c r="P59" i="6" s="1"/>
  <c r="D76" i="6"/>
  <c r="M59" i="6"/>
  <c r="N32" i="6"/>
  <c r="F59" i="6"/>
  <c r="F76" i="6" s="1"/>
  <c r="G76" i="6" s="1"/>
  <c r="P40" i="10"/>
  <c r="Q55" i="10"/>
  <c r="Q9" i="10"/>
  <c r="N9" i="10"/>
  <c r="G9" i="10"/>
  <c r="R50" i="10"/>
  <c r="R49" i="10"/>
  <c r="K49" i="14" l="1"/>
  <c r="K46" i="14" s="1"/>
  <c r="K44" i="14" s="1"/>
  <c r="K49" i="15"/>
  <c r="K50" i="10"/>
  <c r="K47" i="10" s="1"/>
  <c r="K44" i="10" s="1"/>
  <c r="K54" i="10" s="1"/>
  <c r="Y54" i="10" s="1"/>
  <c r="G59" i="6"/>
  <c r="M49" i="14" l="1"/>
  <c r="M46" i="14" s="1"/>
  <c r="K46" i="15"/>
  <c r="K44" i="15" s="1"/>
  <c r="M49" i="15"/>
  <c r="R47" i="14"/>
  <c r="K53" i="14"/>
  <c r="M50" i="10"/>
  <c r="N50" i="10" s="1"/>
  <c r="R48" i="10"/>
  <c r="R47" i="10"/>
  <c r="N49" i="14" l="1"/>
  <c r="N49" i="15"/>
  <c r="M46" i="15"/>
  <c r="R47" i="15"/>
  <c r="K53" i="15"/>
  <c r="P57" i="14"/>
  <c r="Y53" i="14"/>
  <c r="M44" i="14"/>
  <c r="N46" i="14"/>
  <c r="M47" i="10"/>
  <c r="M44" i="10" s="1"/>
  <c r="M54" i="10" s="1"/>
  <c r="N54" i="10" s="1"/>
  <c r="P58" i="10"/>
  <c r="P57" i="15" l="1"/>
  <c r="Y53" i="15"/>
  <c r="N46" i="15"/>
  <c r="M44" i="15"/>
  <c r="N44" i="14"/>
  <c r="M53" i="14"/>
  <c r="N53" i="14" s="1"/>
  <c r="N47" i="10"/>
  <c r="N44" i="10"/>
  <c r="N44" i="15" l="1"/>
  <c r="M53" i="15"/>
  <c r="N53" i="15" s="1"/>
</calcChain>
</file>

<file path=xl/sharedStrings.xml><?xml version="1.0" encoding="utf-8"?>
<sst xmlns="http://schemas.openxmlformats.org/spreadsheetml/2006/main" count="550" uniqueCount="262">
  <si>
    <t>COD</t>
  </si>
  <si>
    <t>ACTIVO</t>
  </si>
  <si>
    <t>AUMENTO</t>
  </si>
  <si>
    <t>PASIVO Y PATRIMONIO</t>
  </si>
  <si>
    <t>PASIVO</t>
  </si>
  <si>
    <t>DISMINUCION</t>
  </si>
  <si>
    <t>-</t>
  </si>
  <si>
    <t>VENTA DE BIENES</t>
  </si>
  <si>
    <t>AVANCES Y ANTICIPOS ENTREGADOS</t>
  </si>
  <si>
    <t>EN PODER DE TERCEROS</t>
  </si>
  <si>
    <t>OTROS PASIVOS</t>
  </si>
  <si>
    <t>OTROS ACTIVOS</t>
  </si>
  <si>
    <t>INGRESOS RECIBIDOS POR ANTICIPADO</t>
  </si>
  <si>
    <t>TOTAL PASIVO</t>
  </si>
  <si>
    <t>TERRENOS</t>
  </si>
  <si>
    <t>PATRIMONIO</t>
  </si>
  <si>
    <t>BIENES MUEBLES EN BODEGA</t>
  </si>
  <si>
    <t>EDIFICACIONES</t>
  </si>
  <si>
    <t>CAPITAL FISCAL</t>
  </si>
  <si>
    <t>MAQUINARIA Y EQUIPO</t>
  </si>
  <si>
    <t>RESULTADO DEL EJERCICIO</t>
  </si>
  <si>
    <t>BIENES DE BENEFICIO Y USO PUBLICO E HISTORICOS Y CULTURALES</t>
  </si>
  <si>
    <t>BIENES HISTORICOS Y CULTURALES</t>
  </si>
  <si>
    <t>BIENES DE ARTE Y CULTURA</t>
  </si>
  <si>
    <t xml:space="preserve">TOTAL ACTIVO </t>
  </si>
  <si>
    <t>TOTAL  PASIVO Y PATRIMONIO</t>
  </si>
  <si>
    <t>CUENTAS DE ORDEN DEUDORAS</t>
  </si>
  <si>
    <t>CUENTAS DE ORDEN   ACREEDORAS</t>
  </si>
  <si>
    <t>LITIGIOS Y DEMANDAS</t>
  </si>
  <si>
    <t>Contadora Pública</t>
  </si>
  <si>
    <t>INDICADORES DE LIQUIDEZ</t>
  </si>
  <si>
    <t>CAPÍTAL DE TRABAJO</t>
  </si>
  <si>
    <t>ACT CTE - PAS CTE</t>
  </si>
  <si>
    <t>LIQUIDEZ - RAZON CORRIENTE</t>
  </si>
  <si>
    <t>(ACT CTE / PAS CTE)</t>
  </si>
  <si>
    <t>ENDEUDAMIENTO</t>
  </si>
  <si>
    <t>(TOTAL PAS / TOTAL ACT)*100</t>
  </si>
  <si>
    <t>MOVIMIENTO AÑO 2013</t>
  </si>
  <si>
    <t>CONCEPTO</t>
  </si>
  <si>
    <t>MVTO 1er TM</t>
  </si>
  <si>
    <t>MVTO 2o TM</t>
  </si>
  <si>
    <t>MVTO 3er TM</t>
  </si>
  <si>
    <t>MVTO 4o TM</t>
  </si>
  <si>
    <t>ACUM A DIC</t>
  </si>
  <si>
    <t>INDICADORES</t>
  </si>
  <si>
    <t>INGRESOS  OPERACIONALES</t>
  </si>
  <si>
    <t>BIENES COMERCIALIZADOS</t>
  </si>
  <si>
    <t>VENTA DE SERVICIOS</t>
  </si>
  <si>
    <t>SERVICIOS EDUCATIVOS</t>
  </si>
  <si>
    <t>OTROS SERVICIOS</t>
  </si>
  <si>
    <t>OTRAS TRANSFERENCIAS</t>
  </si>
  <si>
    <t>COSTO DE VENTAS</t>
  </si>
  <si>
    <t>COSTO DE VENTAS DE BIENES</t>
  </si>
  <si>
    <t>GASTOS  OPERACIONALES</t>
  </si>
  <si>
    <t xml:space="preserve"> ADMINISTRATIVOS</t>
  </si>
  <si>
    <t>CONTRIBUCIONES IMPUTADAS</t>
  </si>
  <si>
    <t>GENERALES</t>
  </si>
  <si>
    <t>IMPUESTOS, CONTRIBUCIONES Y TASAS</t>
  </si>
  <si>
    <t>OTROS INGRESOS</t>
  </si>
  <si>
    <t>FINANCIEROS</t>
  </si>
  <si>
    <t>OTROS GASTOS</t>
  </si>
  <si>
    <t>COMISIONES</t>
  </si>
  <si>
    <t>PERIODO 2013</t>
  </si>
  <si>
    <t>MES</t>
  </si>
  <si>
    <t>INGRESOS FISCALES</t>
  </si>
  <si>
    <t>GASTOS NO OPERACIONALES</t>
  </si>
  <si>
    <t>JAIRO ALBERTO SERRATO ROMERO</t>
  </si>
  <si>
    <t>Subdirector Financiero</t>
  </si>
  <si>
    <t>(Cifras en pesos colombianos sin decimales)</t>
  </si>
  <si>
    <t>ACTIVO CORRIENTE</t>
  </si>
  <si>
    <t>EFECTIVO Y EQUIVALENTES AL EFECTIVO</t>
  </si>
  <si>
    <t>DEPÓSITOS EN INSTITUCIONES FINANCIERAS</t>
  </si>
  <si>
    <t>EQUIVALENTES AL EFECTIVO</t>
  </si>
  <si>
    <t xml:space="preserve">CUENTAS POR COBRAR </t>
  </si>
  <si>
    <t>PRESTACIÓN DE SERVICIOS</t>
  </si>
  <si>
    <t>OTRAS CUENTAS POR COBRAR</t>
  </si>
  <si>
    <t xml:space="preserve">DETERIORO ACUMULADO DE CUENTAS POR COBRAR </t>
  </si>
  <si>
    <t xml:space="preserve">INVENTARIOS </t>
  </si>
  <si>
    <t>MERCANCÍAS EN EXISTENCIA</t>
  </si>
  <si>
    <t>MATERIALES Y SUMINISTROS</t>
  </si>
  <si>
    <t xml:space="preserve">ACTIVO NO CORRIENTE </t>
  </si>
  <si>
    <t>PROPIEDADES, PLANTA Y EQUIPO</t>
  </si>
  <si>
    <t>CONSTRUCCIONES EN CURSO</t>
  </si>
  <si>
    <t>PROPIEDADES, PLANTA Y EQUIPO NO EXPLOTADOS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</si>
  <si>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</si>
  <si>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</si>
  <si>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</si>
  <si>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</si>
  <si>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</si>
  <si>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</t>
  </si>
  <si>
    <t>DEPÓSITOS ENTREGADOS EN GARANTÍA</t>
  </si>
  <si>
    <t>ACTIVOS INTANGIBLES</t>
  </si>
  <si>
    <t xml:space="preserve">AMORTIZACIÓN ACUMULADA DE ACTIVOS INTANGIBLES </t>
  </si>
  <si>
    <t xml:space="preserve">PASIVO CORRIENTE </t>
  </si>
  <si>
    <t xml:space="preserve">CUENTAS POR PAGAR </t>
  </si>
  <si>
    <t>ADQUISICIÓN DE BIENES Y SERVICIOS NACIONALES</t>
  </si>
  <si>
    <t>RECURSOS A FAVOR DE TERCEROS</t>
  </si>
  <si>
    <t>DESCUENTOS DE NOMINA</t>
  </si>
  <si>
    <t>RETENCIÓN EN LA FUENTE E IMPUESTO DE TIMBRE</t>
  </si>
  <si>
    <t xml:space="preserve">IMPUESTOS, CONTRIBUCIONES Y TASAS </t>
  </si>
  <si>
    <t>OTRAS CUENTAS POR PAGAR</t>
  </si>
  <si>
    <t xml:space="preserve">BENEFICIOS A LOS EMPLEADOS </t>
  </si>
  <si>
    <t>BENEFICIOS A LOS EMPLEADOS A CORTO PLAZO</t>
  </si>
  <si>
    <t>PROVISIONES</t>
  </si>
  <si>
    <t>RECURSOS RECIBIDOS EN ADMINISTRACIÓN</t>
  </si>
  <si>
    <t xml:space="preserve">PASIVO NO CORRIENTE </t>
  </si>
  <si>
    <t>BENEFICIOS A LOS EMPLEADOS A LARGO PLAZO</t>
  </si>
  <si>
    <t>ACTIVOS CONTINGENTES</t>
  </si>
  <si>
    <t>LITIGIOS Y MECANISMOS ALTERNATIVOS DE SOLUCIÓN DE CONFLICTOS</t>
  </si>
  <si>
    <t>OTROS ACTIVOS CONTINGENTES</t>
  </si>
  <si>
    <t>ACTIVOS CONTINGENTES POR CONTRA</t>
  </si>
  <si>
    <t>PASIVOS CONTINGENTES</t>
  </si>
  <si>
    <t>GARANTIAS CONTRACTUALES</t>
  </si>
  <si>
    <t>c.c. 79.372.414</t>
  </si>
  <si>
    <t>c.c. 51.964.083</t>
  </si>
  <si>
    <t>Tarjeta Profesional Nº 52145T</t>
  </si>
  <si>
    <t>PATRIMONIO DE LAS ESTIDADES DE GOBIERNO</t>
  </si>
  <si>
    <t>RESULTADOS DE EJERCICIOS ANTERIORES</t>
  </si>
  <si>
    <t xml:space="preserve">SIN CONTRAPRESTACIÓN </t>
  </si>
  <si>
    <t>4110</t>
  </si>
  <si>
    <t>CONTRIBUCIONES, TASAS E INGRESOS NO TRIBUTARIOS</t>
  </si>
  <si>
    <t>TRANSFERENCIAS Y SUBVENCIONES</t>
  </si>
  <si>
    <t>4428</t>
  </si>
  <si>
    <t xml:space="preserve">CON  CONTRAPRESTACIÓN </t>
  </si>
  <si>
    <t>4305</t>
  </si>
  <si>
    <t>4390</t>
  </si>
  <si>
    <t>DEVOLUCIONES, REBAJAS Y DESCUENTOS EN VENTA DE SERVICIOS</t>
  </si>
  <si>
    <t xml:space="preserve">VENTA DE BIENES </t>
  </si>
  <si>
    <t>4210</t>
  </si>
  <si>
    <t>COSTO DE VENTAS DE SERVICIOS</t>
  </si>
  <si>
    <t>5101</t>
  </si>
  <si>
    <t>SUELDOS Y SALARIOS</t>
  </si>
  <si>
    <t>5102</t>
  </si>
  <si>
    <t>5103</t>
  </si>
  <si>
    <t>CONTRIBUCIONES EFECTIVAS</t>
  </si>
  <si>
    <t>5104</t>
  </si>
  <si>
    <t>APORTES SOBRE LA NÓMINA</t>
  </si>
  <si>
    <t>5107</t>
  </si>
  <si>
    <t>PRESTACIONES SOCIALES</t>
  </si>
  <si>
    <t>5111</t>
  </si>
  <si>
    <t>5120</t>
  </si>
  <si>
    <t>DETERIORO, DEPRECIACIONES, AMORTIZACIONES Y PROVISIONES</t>
  </si>
  <si>
    <t>5360</t>
  </si>
  <si>
    <t>DEPRECIACIÓN DE PROPIEDADES, PLANTA Y EQUIPO</t>
  </si>
  <si>
    <t>5366</t>
  </si>
  <si>
    <t>AMORTIZACIÓN DE ACTIVOS INTANGIBLES</t>
  </si>
  <si>
    <t>INGRESOS  NO OPERACIONALES</t>
  </si>
  <si>
    <t>INGRESOS DIVERSOS</t>
  </si>
  <si>
    <t>5802</t>
  </si>
  <si>
    <t>GASTOS DIVERSOS</t>
  </si>
  <si>
    <t>CON CONTRAPRESTACION</t>
  </si>
  <si>
    <t>Var %</t>
  </si>
  <si>
    <t xml:space="preserve">EXCEDENTE (DÉFICIT)  OPERACIONAL </t>
  </si>
  <si>
    <t>EXCEDENTE (DÉFICIT) DEL EJERCICIO</t>
  </si>
  <si>
    <t>ESTADO DE RESULTADOS COMPARATIVO</t>
  </si>
  <si>
    <t>2990</t>
  </si>
  <si>
    <t>OTROS PASIVOS DIFERIDOS</t>
  </si>
  <si>
    <t>GASTOS DE PERSONAL DIVERSOS</t>
  </si>
  <si>
    <t>CUENTAS POR COBRAR DE DIFÍCIL RECAUDO</t>
  </si>
  <si>
    <t>4395</t>
  </si>
  <si>
    <t>PROVISION, LITIGIOS Y DEMANDAS</t>
  </si>
  <si>
    <t>TRANSFERENCIAS POR COBRAR</t>
  </si>
  <si>
    <t>REVERSION DE LAS PERDIDAS POR DETERIORO DE VALOR</t>
  </si>
  <si>
    <t>ACREEDORAS POR CONTRA (DB)</t>
  </si>
  <si>
    <t>DEUDORAS POR CONTRA (CR)</t>
  </si>
  <si>
    <t>DETERIORO DE CUENTAS POR COBRAR</t>
  </si>
  <si>
    <t>OTROS PASIVOS CONTINGENTES</t>
  </si>
  <si>
    <t xml:space="preserve">NIT No. 899.999.124-4 </t>
  </si>
  <si>
    <t xml:space="preserve">RESPONSABILIDADES CONTINGENTES POR CONTRA </t>
  </si>
  <si>
    <t>IMPUESTOS</t>
  </si>
  <si>
    <t>DEVOLUCIONES, REBAJAS Y DESCUENTOS EN VENTA DE BIENES</t>
  </si>
  <si>
    <t>ACREEDORAS DE CONTROL POR CONTRA</t>
  </si>
  <si>
    <t>MARYSOL GUERRA LEGUIZAMÓN</t>
  </si>
  <si>
    <t>ESTADO DE SITUACIÓN FINANCIERA COMPARATIVO</t>
  </si>
  <si>
    <t>UNIVERSIDAD PEDAGÓGICA NACIONAL</t>
  </si>
  <si>
    <t>%variación</t>
  </si>
  <si>
    <t>CAJA</t>
  </si>
  <si>
    <t>ACREEDORAS DE CONTROL</t>
  </si>
  <si>
    <t>RECURSOS ADMINISTRADOS EN NOMBRE DE TERCEROS</t>
  </si>
  <si>
    <t>INVERSIONES EN INSTRUMENTOS DERIVADOS</t>
  </si>
  <si>
    <t>INVERSIONES DE ADMINISTRACIÓN DE LIQUIDEZ A COSTO AMORTIZADO</t>
  </si>
  <si>
    <t>SEPTIEMBRE</t>
  </si>
  <si>
    <t>JUNIO</t>
  </si>
  <si>
    <t>AJUSTE POR DIFERENCIA EN CAMBIO</t>
  </si>
  <si>
    <t>MARZO</t>
  </si>
  <si>
    <t>OPERACIONES INTERINSTITUCIONALES</t>
  </si>
  <si>
    <t>FONDOS RECIBIDOS</t>
  </si>
  <si>
    <t>BIENES Y SERVICIOS PAGADOS POR ANTICIPADO</t>
  </si>
  <si>
    <t>Representante Legal - Rector</t>
  </si>
  <si>
    <t>HELBERTH AUGUSTO CHOACHÍ GONZÁLEZ</t>
  </si>
  <si>
    <t>c.c. 80.171.041</t>
  </si>
  <si>
    <t>A 30 DE JUNIO DE  2024 - 31 DE MARZO 2024</t>
  </si>
  <si>
    <t xml:space="preserve">Los suscritos Representante legal, Subdirector Financiero y Contador de la Universidad Pedagógica Nacional certifican que los saldos del Estado de Situación Financiera a junio 30 del 2024 y marzo 31 del 2024, fueron tomados fielmente de los libros de contabilidad, que la contabilidad se elaboró conforme a la normatividad emitida por la Contaduría General de la Nación para Entidades de Gobierno, anexa a la Resolución 533 de 2015 y sus modificatorias. </t>
  </si>
  <si>
    <t>REVERSION DE PROVISIONES</t>
  </si>
  <si>
    <t>CRÉDITOS JUDICIALES</t>
  </si>
  <si>
    <t>A 30 DE SEPTIEMBRE DE  2024 - 30 DE JUNIO 2024</t>
  </si>
  <si>
    <t xml:space="preserve">Los suscritos Representante legal, Subdirector Financiero y Contador de la Universidad Pedagógica Nacional certifican que los saldos del Estado de Situación Financiera a septiembre 30 del 2024 y 30 de junio del 2024, fueron tomados fielmente de los libros de contabilidad, que la contabilidad se elaboró conforme a la normatividad emitida por la Contaduría General de la Nación para Entidades de Gobierno, anexa a la Resolución 533 de 2015 y sus modificatorias. </t>
  </si>
  <si>
    <t>NOTAS</t>
  </si>
  <si>
    <t>5.1</t>
  </si>
  <si>
    <t>5.3</t>
  </si>
  <si>
    <t>6.1</t>
  </si>
  <si>
    <t>7.6</t>
  </si>
  <si>
    <t>7.7</t>
  </si>
  <si>
    <t>7.20</t>
  </si>
  <si>
    <t>7.21</t>
  </si>
  <si>
    <t>9.1</t>
  </si>
  <si>
    <t>7.22</t>
  </si>
  <si>
    <t>10.2</t>
  </si>
  <si>
    <t>10.3</t>
  </si>
  <si>
    <t>10.1</t>
  </si>
  <si>
    <t>10.4</t>
  </si>
  <si>
    <t>11.2</t>
  </si>
  <si>
    <t>14.1</t>
  </si>
  <si>
    <t>25.1</t>
  </si>
  <si>
    <t>25.1.1</t>
  </si>
  <si>
    <t>21.1.1</t>
  </si>
  <si>
    <t>21.1.5</t>
  </si>
  <si>
    <t>21.1.7</t>
  </si>
  <si>
    <t>21.1.9</t>
  </si>
  <si>
    <t>21.1.17</t>
  </si>
  <si>
    <t>22.1</t>
  </si>
  <si>
    <t>23.1</t>
  </si>
  <si>
    <t>24.1</t>
  </si>
  <si>
    <t>22.2</t>
  </si>
  <si>
    <t>27.1</t>
  </si>
  <si>
    <t>27.2</t>
  </si>
  <si>
    <t>27.3</t>
  </si>
  <si>
    <t>25.2</t>
  </si>
  <si>
    <t>25.2.1</t>
  </si>
  <si>
    <t>28.1</t>
  </si>
  <si>
    <t>28.1.1</t>
  </si>
  <si>
    <t>28.1.2</t>
  </si>
  <si>
    <t>28.2</t>
  </si>
  <si>
    <t>28.2.1</t>
  </si>
  <si>
    <t>28.2.1.1</t>
  </si>
  <si>
    <t>28.2.1.2</t>
  </si>
  <si>
    <t>28.2.2</t>
  </si>
  <si>
    <t>30.1</t>
  </si>
  <si>
    <t>30.2</t>
  </si>
  <si>
    <t>29.1</t>
  </si>
  <si>
    <t>29.1.1</t>
  </si>
  <si>
    <t>29.1.2</t>
  </si>
  <si>
    <t>29.1.3</t>
  </si>
  <si>
    <t>29.1.4</t>
  </si>
  <si>
    <t>29.1.5</t>
  </si>
  <si>
    <t>29.1.6</t>
  </si>
  <si>
    <t>29.1.7</t>
  </si>
  <si>
    <t>29.1.8</t>
  </si>
  <si>
    <t>29.2</t>
  </si>
  <si>
    <t>28.2.3</t>
  </si>
  <si>
    <t>28.2.4</t>
  </si>
  <si>
    <t>28.2.5</t>
  </si>
  <si>
    <t>29.7</t>
  </si>
  <si>
    <t>DICIEMBRE</t>
  </si>
  <si>
    <t>A 31 DE DICIEMBRE DE  2024 - 2023</t>
  </si>
  <si>
    <t xml:space="preserve">Los suscritos Representante legal, Subdirector Financiero y Contador de la Universidad Pedagógica Nacional certifican que los saldos del Estado de Situación Financiera a diciembre 31 del 2024 y 2023, fueron tomados fielmente de los libros de contabilidad, que la contabilidad se elaboró conforme a la normatividad emitida por la Contaduría General de la Nación para Entidades de Gobierno, anexa a la Resolución 533 de 2015 y sus modificatorias. </t>
  </si>
  <si>
    <t>DEL 01 DE ENERO AL 31 DE DICIEMBRE DEL  2024 - 2023</t>
  </si>
  <si>
    <t>Los suscritos Representante legal, Subdirector Financiero y Contador de la Universidad Pedagógica Nacional certifican que los saldos del Estado de Resultados del 1 de enero al 31 de diciembre del 2024 y 2023, fueron tomados fielmente de los libros de contabilidad y que la contabilidad se elaboró conforme a la normatividad emitida por la Contaduría General de la Nación para Entidades de Gobierno, anexa a la Resolución 533 de 2015 y sus modificatorias.</t>
  </si>
  <si>
    <t>28.1.3</t>
  </si>
  <si>
    <t>OTRAS CUENTAS ACREEDORAS DE CONTROL</t>
  </si>
  <si>
    <t>DETERIORO ACUMULADO DE PROPIEDADES, PLANTA Y EQUIPO</t>
  </si>
  <si>
    <t>DETERIORO DE PROPIEDADES,PLANTA Y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</si>
</sst>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i/>
      <sz val="10"/>
      <name val="Century"/>
      <family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entury"/>
      <family val="1"/>
    </font>
    <font>
      <b/>
      <sz val="10"/>
      <color theme="3" tint="0.39997558519241921"/>
      <name val="Arial"/>
      <family val="2"/>
    </font>
    <font>
      <b/>
      <sz val="12"/>
      <color theme="3" tint="0.39997558519241921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 style="dashed">
        <color auto="1"/>
      </left>
      <right/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5" fillId="0" borderId="0" xfId="0" applyFont="1" applyFill="1" applyBorder="1" applyAlignment="1">
      <alignment horizontal="left"/>
    </xf>
    <xf numFmtId="4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/>
    <xf numFmtId="10" fontId="1" fillId="0" borderId="0" xfId="0" applyNumberFormat="1" applyFont="1" applyFill="1"/>
    <xf numFmtId="4" fontId="6" fillId="0" borderId="0" xfId="0" applyNumberFormat="1" applyFont="1" applyFill="1"/>
    <xf numFmtId="3" fontId="6" fillId="0" borderId="0" xfId="0" applyNumberFormat="1" applyFont="1" applyFill="1"/>
    <xf numFmtId="4" fontId="5" fillId="0" borderId="0" xfId="0" applyNumberFormat="1" applyFont="1" applyFill="1" applyBorder="1"/>
    <xf numFmtId="4" fontId="0" fillId="0" borderId="0" xfId="0" applyNumberFormat="1" applyFill="1"/>
    <xf numFmtId="0" fontId="1" fillId="0" borderId="4" xfId="0" applyFont="1" applyFill="1" applyBorder="1"/>
    <xf numFmtId="4" fontId="9" fillId="0" borderId="0" xfId="0" applyNumberFormat="1" applyFont="1" applyFill="1" applyBorder="1"/>
    <xf numFmtId="4" fontId="1" fillId="0" borderId="0" xfId="0" applyNumberFormat="1" applyFont="1" applyFill="1"/>
    <xf numFmtId="4" fontId="1" fillId="0" borderId="0" xfId="0" applyNumberFormat="1" applyFont="1" applyFill="1" applyBorder="1"/>
    <xf numFmtId="1" fontId="4" fillId="0" borderId="5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164" fontId="0" fillId="0" borderId="0" xfId="0" applyNumberFormat="1" applyFill="1"/>
    <xf numFmtId="3" fontId="0" fillId="0" borderId="0" xfId="0" applyNumberFormat="1" applyFill="1" applyBorder="1"/>
    <xf numFmtId="3" fontId="5" fillId="0" borderId="1" xfId="0" applyNumberFormat="1" applyFont="1" applyFill="1" applyBorder="1"/>
    <xf numFmtId="4" fontId="7" fillId="0" borderId="0" xfId="0" applyNumberFormat="1" applyFont="1" applyFill="1"/>
    <xf numFmtId="0" fontId="5" fillId="0" borderId="0" xfId="0" applyFont="1" applyFill="1" applyAlignment="1">
      <alignment horizontal="center"/>
    </xf>
    <xf numFmtId="4" fontId="0" fillId="0" borderId="0" xfId="0" applyNumberFormat="1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" fontId="4" fillId="0" borderId="0" xfId="0" applyNumberFormat="1" applyFont="1" applyFill="1"/>
    <xf numFmtId="2" fontId="1" fillId="0" borderId="0" xfId="0" applyNumberFormat="1" applyFont="1" applyFill="1"/>
    <xf numFmtId="3" fontId="1" fillId="0" borderId="0" xfId="0" applyNumberFormat="1" applyFont="1" applyFill="1" applyBorder="1"/>
    <xf numFmtId="2" fontId="5" fillId="0" borderId="0" xfId="0" applyNumberFormat="1" applyFont="1" applyFill="1"/>
    <xf numFmtId="2" fontId="4" fillId="0" borderId="0" xfId="0" applyNumberFormat="1" applyFont="1" applyFill="1"/>
    <xf numFmtId="3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/>
    <xf numFmtId="4" fontId="6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quotePrefix="1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5" fillId="0" borderId="0" xfId="0" applyFont="1" applyFill="1" applyBorder="1"/>
    <xf numFmtId="3" fontId="1" fillId="0" borderId="0" xfId="0" applyNumberFormat="1" applyFont="1" applyFill="1" applyBorder="1" applyAlignment="1">
      <alignment horizontal="right"/>
    </xf>
    <xf numFmtId="9" fontId="1" fillId="0" borderId="3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0" xfId="1" applyNumberFormat="1" applyFont="1" applyFill="1"/>
    <xf numFmtId="0" fontId="1" fillId="0" borderId="0" xfId="0" quotePrefix="1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right"/>
    </xf>
    <xf numFmtId="2" fontId="1" fillId="0" borderId="0" xfId="0" applyNumberFormat="1" applyFont="1" applyFill="1" applyBorder="1"/>
    <xf numFmtId="4" fontId="1" fillId="0" borderId="4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3" fontId="11" fillId="0" borderId="0" xfId="0" applyNumberFormat="1" applyFont="1" applyFill="1" applyBorder="1"/>
    <xf numFmtId="3" fontId="10" fillId="0" borderId="0" xfId="0" applyNumberFormat="1" applyFont="1" applyFill="1" applyBorder="1"/>
    <xf numFmtId="0" fontId="6" fillId="0" borderId="0" xfId="0" applyFont="1" applyFill="1" applyBorder="1" applyAlignment="1">
      <alignment wrapText="1"/>
    </xf>
    <xf numFmtId="0" fontId="11" fillId="0" borderId="0" xfId="0" applyFont="1" applyFill="1" applyBorder="1"/>
    <xf numFmtId="3" fontId="10" fillId="0" borderId="0" xfId="0" applyNumberFormat="1" applyFont="1" applyFill="1" applyBorder="1" applyAlignment="1"/>
    <xf numFmtId="3" fontId="11" fillId="0" borderId="0" xfId="0" applyNumberFormat="1" applyFont="1" applyFill="1" applyBorder="1" applyAlignment="1"/>
    <xf numFmtId="0" fontId="0" fillId="0" borderId="0" xfId="0" applyFill="1" applyAlignment="1"/>
    <xf numFmtId="0" fontId="0" fillId="0" borderId="0" xfId="0" applyFill="1"/>
    <xf numFmtId="0" fontId="13" fillId="0" borderId="0" xfId="0" applyFont="1" applyFill="1" applyBorder="1" applyAlignment="1">
      <alignment horizontal="center"/>
    </xf>
    <xf numFmtId="4" fontId="1" fillId="0" borderId="9" xfId="0" applyNumberFormat="1" applyFont="1" applyFill="1" applyBorder="1"/>
    <xf numFmtId="4" fontId="1" fillId="0" borderId="10" xfId="0" applyNumberFormat="1" applyFont="1" applyFill="1" applyBorder="1"/>
    <xf numFmtId="4" fontId="1" fillId="0" borderId="8" xfId="0" applyNumberFormat="1" applyFont="1" applyFill="1" applyBorder="1"/>
    <xf numFmtId="4" fontId="5" fillId="0" borderId="0" xfId="0" quotePrefix="1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Continuous"/>
    </xf>
    <xf numFmtId="3" fontId="9" fillId="0" borderId="0" xfId="0" applyNumberFormat="1" applyFont="1" applyFill="1" applyBorder="1"/>
    <xf numFmtId="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9" fontId="5" fillId="0" borderId="3" xfId="1" applyNumberFormat="1" applyFont="1" applyFill="1" applyBorder="1" applyAlignment="1">
      <alignment horizontal="center"/>
    </xf>
    <xf numFmtId="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0" fontId="0" fillId="0" borderId="12" xfId="0" applyFill="1" applyBorder="1" applyAlignment="1">
      <alignment horizontal="right"/>
    </xf>
    <xf numFmtId="0" fontId="0" fillId="0" borderId="12" xfId="0" applyFill="1" applyBorder="1"/>
    <xf numFmtId="0" fontId="1" fillId="0" borderId="12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1" fillId="0" borderId="12" xfId="0" applyFont="1" applyFill="1" applyBorder="1"/>
    <xf numFmtId="0" fontId="1" fillId="0" borderId="3" xfId="0" applyFont="1" applyFill="1" applyBorder="1"/>
    <xf numFmtId="9" fontId="5" fillId="0" borderId="3" xfId="0" applyNumberFormat="1" applyFont="1" applyFill="1" applyBorder="1" applyAlignment="1">
      <alignment horizontal="center"/>
    </xf>
    <xf numFmtId="0" fontId="6" fillId="0" borderId="12" xfId="0" applyFont="1" applyFill="1" applyBorder="1"/>
    <xf numFmtId="38" fontId="6" fillId="0" borderId="3" xfId="0" applyNumberFormat="1" applyFont="1" applyFill="1" applyBorder="1"/>
    <xf numFmtId="9" fontId="10" fillId="0" borderId="3" xfId="1" applyNumberFormat="1" applyFont="1" applyFill="1" applyBorder="1"/>
    <xf numFmtId="9" fontId="11" fillId="0" borderId="3" xfId="0" applyNumberFormat="1" applyFont="1" applyFill="1" applyBorder="1"/>
    <xf numFmtId="0" fontId="6" fillId="0" borderId="12" xfId="0" quotePrefix="1" applyFont="1" applyFill="1" applyBorder="1" applyAlignment="1">
      <alignment horizontal="right"/>
    </xf>
    <xf numFmtId="0" fontId="4" fillId="0" borderId="12" xfId="0" quotePrefix="1" applyFont="1" applyFill="1" applyBorder="1" applyAlignment="1">
      <alignment horizontal="left"/>
    </xf>
    <xf numFmtId="9" fontId="11" fillId="0" borderId="3" xfId="0" applyNumberFormat="1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9" fontId="10" fillId="0" borderId="3" xfId="0" applyNumberFormat="1" applyFont="1" applyFill="1" applyBorder="1"/>
    <xf numFmtId="0" fontId="0" fillId="0" borderId="3" xfId="0" applyFill="1" applyBorder="1"/>
    <xf numFmtId="0" fontId="0" fillId="0" borderId="3" xfId="0" applyFill="1" applyBorder="1" applyAlignment="1"/>
    <xf numFmtId="4" fontId="1" fillId="0" borderId="14" xfId="0" applyNumberFormat="1" applyFont="1" applyFill="1" applyBorder="1"/>
    <xf numFmtId="0" fontId="1" fillId="0" borderId="14" xfId="0" applyFont="1" applyFill="1" applyBorder="1" applyAlignment="1"/>
    <xf numFmtId="0" fontId="0" fillId="0" borderId="14" xfId="0" applyFill="1" applyBorder="1" applyAlignment="1"/>
    <xf numFmtId="0" fontId="0" fillId="0" borderId="15" xfId="0" applyFill="1" applyBorder="1" applyAlignment="1"/>
    <xf numFmtId="4" fontId="4" fillId="0" borderId="16" xfId="0" applyNumberFormat="1" applyFont="1" applyFill="1" applyBorder="1" applyAlignment="1">
      <alignment horizontal="center"/>
    </xf>
    <xf numFmtId="9" fontId="10" fillId="0" borderId="16" xfId="1" applyNumberFormat="1" applyFont="1" applyFill="1" applyBorder="1"/>
    <xf numFmtId="9" fontId="11" fillId="0" borderId="16" xfId="0" applyNumberFormat="1" applyFont="1" applyFill="1" applyBorder="1"/>
    <xf numFmtId="3" fontId="10" fillId="0" borderId="18" xfId="0" applyNumberFormat="1" applyFont="1" applyFill="1" applyBorder="1"/>
    <xf numFmtId="9" fontId="10" fillId="0" borderId="17" xfId="1" applyNumberFormat="1" applyFont="1" applyFill="1" applyBorder="1"/>
    <xf numFmtId="9" fontId="10" fillId="0" borderId="19" xfId="1" applyNumberFormat="1" applyFont="1" applyFill="1" applyBorder="1"/>
    <xf numFmtId="0" fontId="4" fillId="0" borderId="18" xfId="0" applyFont="1" applyFill="1" applyBorder="1" applyAlignment="1">
      <alignment horizontal="center"/>
    </xf>
    <xf numFmtId="3" fontId="5" fillId="0" borderId="18" xfId="0" applyNumberFormat="1" applyFont="1" applyFill="1" applyBorder="1"/>
    <xf numFmtId="9" fontId="5" fillId="0" borderId="19" xfId="1" applyNumberFormat="1" applyFont="1" applyFill="1" applyBorder="1" applyAlignment="1">
      <alignment horizontal="center"/>
    </xf>
    <xf numFmtId="0" fontId="6" fillId="0" borderId="13" xfId="0" applyFont="1" applyFill="1" applyBorder="1"/>
    <xf numFmtId="0" fontId="4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3" fontId="10" fillId="0" borderId="20" xfId="0" applyNumberFormat="1" applyFont="1" applyFill="1" applyBorder="1"/>
    <xf numFmtId="9" fontId="10" fillId="0" borderId="21" xfId="1" applyNumberFormat="1" applyFont="1" applyFill="1" applyBorder="1"/>
    <xf numFmtId="0" fontId="6" fillId="0" borderId="14" xfId="0" applyFont="1" applyFill="1" applyBorder="1"/>
    <xf numFmtId="9" fontId="10" fillId="0" borderId="22" xfId="1" applyNumberFormat="1" applyFont="1" applyFill="1" applyBorder="1"/>
    <xf numFmtId="0" fontId="4" fillId="0" borderId="0" xfId="0" quotePrefix="1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3" fontId="10" fillId="0" borderId="4" xfId="0" applyNumberFormat="1" applyFont="1" applyFill="1" applyBorder="1"/>
    <xf numFmtId="0" fontId="4" fillId="0" borderId="11" xfId="0" applyFont="1" applyFill="1" applyBorder="1" applyAlignment="1">
      <alignment horizontal="left"/>
    </xf>
    <xf numFmtId="9" fontId="10" fillId="0" borderId="6" xfId="1" applyNumberFormat="1" applyFont="1" applyFill="1" applyBorder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3" fontId="10" fillId="0" borderId="0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16" fontId="6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" fontId="10" fillId="0" borderId="0" xfId="0" applyNumberFormat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9" fontId="11" fillId="0" borderId="0" xfId="0" applyNumberFormat="1" applyFont="1" applyFill="1" applyBorder="1"/>
    <xf numFmtId="9" fontId="11" fillId="0" borderId="0" xfId="0" applyNumberFormat="1" applyFont="1" applyFill="1" applyBorder="1" applyAlignment="1">
      <alignment horizontal="right"/>
    </xf>
    <xf numFmtId="9" fontId="10" fillId="0" borderId="0" xfId="1" applyNumberFormat="1" applyFont="1" applyFill="1" applyBorder="1"/>
    <xf numFmtId="0" fontId="6" fillId="0" borderId="24" xfId="0" applyFont="1" applyFill="1" applyBorder="1" applyAlignment="1">
      <alignment horizontal="right"/>
    </xf>
    <xf numFmtId="0" fontId="4" fillId="0" borderId="24" xfId="0" quotePrefix="1" applyFont="1" applyFill="1" applyBorder="1" applyAlignment="1">
      <alignment horizontal="left"/>
    </xf>
    <xf numFmtId="9" fontId="10" fillId="0" borderId="0" xfId="0" applyNumberFormat="1" applyFont="1" applyFill="1" applyBorder="1"/>
    <xf numFmtId="9" fontId="10" fillId="0" borderId="4" xfId="1" applyNumberFormat="1" applyFont="1" applyFill="1" applyBorder="1"/>
    <xf numFmtId="0" fontId="4" fillId="0" borderId="25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9" fontId="10" fillId="0" borderId="3" xfId="1" applyNumberFormat="1" applyFont="1" applyFill="1" applyBorder="1" applyAlignment="1">
      <alignment horizontal="right"/>
    </xf>
    <xf numFmtId="9" fontId="11" fillId="0" borderId="26" xfId="0" applyNumberFormat="1" applyFont="1" applyFill="1" applyBorder="1"/>
    <xf numFmtId="9" fontId="11" fillId="0" borderId="26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" fontId="10" fillId="0" borderId="27" xfId="0" applyNumberFormat="1" applyFont="1" applyFill="1" applyBorder="1"/>
    <xf numFmtId="9" fontId="10" fillId="0" borderId="28" xfId="1" applyNumberFormat="1" applyFont="1" applyFill="1" applyBorder="1"/>
    <xf numFmtId="3" fontId="10" fillId="0" borderId="29" xfId="0" applyNumberFormat="1" applyFont="1" applyFill="1" applyBorder="1"/>
    <xf numFmtId="9" fontId="10" fillId="0" borderId="30" xfId="0" applyNumberFormat="1" applyFont="1" applyFill="1" applyBorder="1"/>
    <xf numFmtId="9" fontId="11" fillId="0" borderId="16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3" fontId="1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5" fillId="0" borderId="14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/>
    </xf>
    <xf numFmtId="4" fontId="13" fillId="0" borderId="0" xfId="0" applyNumberFormat="1" applyFont="1" applyFill="1" applyBorder="1" applyAlignment="1"/>
    <xf numFmtId="0" fontId="5" fillId="0" borderId="14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/>
    </xf>
    <xf numFmtId="4" fontId="13" fillId="0" borderId="0" xfId="0" applyNumberFormat="1" applyFont="1" applyFill="1" applyBorder="1" applyAlignment="1"/>
    <xf numFmtId="3" fontId="11" fillId="2" borderId="0" xfId="0" applyNumberFormat="1" applyFont="1" applyFill="1"/>
    <xf numFmtId="3" fontId="10" fillId="0" borderId="0" xfId="0" applyNumberFormat="1" applyFont="1" applyFill="1" applyBorder="1" applyAlignment="1">
      <alignment vertical="center"/>
    </xf>
    <xf numFmtId="9" fontId="10" fillId="0" borderId="16" xfId="1" applyNumberFormat="1" applyFont="1" applyFill="1" applyBorder="1" applyAlignment="1">
      <alignment vertical="center"/>
    </xf>
    <xf numFmtId="3" fontId="11" fillId="0" borderId="0" xfId="0" applyNumberFormat="1" applyFont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9" fontId="11" fillId="0" borderId="16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wrapText="1"/>
    </xf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right" vertical="center"/>
    </xf>
    <xf numFmtId="9" fontId="10" fillId="0" borderId="3" xfId="1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0" fontId="5" fillId="0" borderId="1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 vertical="justify" wrapText="1"/>
    </xf>
    <xf numFmtId="0" fontId="1" fillId="0" borderId="0" xfId="0" applyFont="1" applyFill="1" applyBorder="1" applyAlignment="1">
      <alignment horizontal="left" vertical="justify" wrapText="1"/>
    </xf>
    <xf numFmtId="0" fontId="1" fillId="0" borderId="3" xfId="0" applyFont="1" applyFill="1" applyBorder="1" applyAlignment="1">
      <alignment horizontal="left" vertical="justify" wrapText="1"/>
    </xf>
    <xf numFmtId="3" fontId="1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" fontId="13" fillId="0" borderId="12" xfId="0" applyNumberFormat="1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/>
    </xf>
    <xf numFmtId="3" fontId="13" fillId="0" borderId="12" xfId="0" applyNumberFormat="1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1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justify" wrapText="1"/>
    </xf>
    <xf numFmtId="0" fontId="1" fillId="0" borderId="14" xfId="0" applyFont="1" applyFill="1" applyBorder="1" applyAlignment="1">
      <alignment horizontal="left" vertical="justify" wrapText="1"/>
    </xf>
    <xf numFmtId="0" fontId="1" fillId="0" borderId="15" xfId="0" applyFont="1" applyFill="1" applyBorder="1" applyAlignment="1">
      <alignment horizontal="left" vertical="justify" wrapText="1"/>
    </xf>
    <xf numFmtId="0" fontId="0" fillId="0" borderId="4" xfId="0" applyFill="1" applyBorder="1"/>
    <xf numFmtId="0" fontId="1" fillId="0" borderId="13" xfId="0" applyFont="1" applyFill="1" applyBorder="1" applyAlignment="1">
      <alignment horizontal="justify" vertical="justify" wrapText="1"/>
    </xf>
    <xf numFmtId="0" fontId="0" fillId="0" borderId="14" xfId="0" applyFill="1" applyBorder="1" applyAlignment="1">
      <alignment horizontal="justify" vertical="justify" wrapText="1"/>
    </xf>
    <xf numFmtId="0" fontId="0" fillId="0" borderId="15" xfId="0" applyFill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123825</xdr:rowOff>
    </xdr:from>
    <xdr:to>
      <xdr:col>1</xdr:col>
      <xdr:colOff>1587666</xdr:colOff>
      <xdr:row>4</xdr:row>
      <xdr:rowOff>161926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23825"/>
          <a:ext cx="1463841" cy="952501"/>
        </a:xfrm>
        <a:prstGeom prst="rect">
          <a:avLst/>
        </a:prstGeom>
      </xdr:spPr>
    </xdr:pic>
    <xdr:clientData/>
  </xdr:twoCellAnchor>
  <xdr:twoCellAnchor editAs="oneCell">
    <xdr:from>
      <xdr:col>11</xdr:col>
      <xdr:colOff>41847</xdr:colOff>
      <xdr:row>0</xdr:row>
      <xdr:rowOff>206546</xdr:rowOff>
    </xdr:from>
    <xdr:to>
      <xdr:col>13</xdr:col>
      <xdr:colOff>249154</xdr:colOff>
      <xdr:row>4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57147" y="206546"/>
          <a:ext cx="1110678" cy="736429"/>
        </a:xfrm>
        <a:prstGeom prst="rect">
          <a:avLst/>
        </a:prstGeom>
        <a:solidFill>
          <a:srgbClr val="1F497D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220579</xdr:colOff>
      <xdr:row>0</xdr:row>
      <xdr:rowOff>70185</xdr:rowOff>
    </xdr:from>
    <xdr:to>
      <xdr:col>1</xdr:col>
      <xdr:colOff>1102894</xdr:colOff>
      <xdr:row>6</xdr:row>
      <xdr:rowOff>20054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579" y="70185"/>
          <a:ext cx="1463841" cy="952501"/>
        </a:xfrm>
        <a:prstGeom prst="rect">
          <a:avLst/>
        </a:prstGeom>
      </xdr:spPr>
    </xdr:pic>
    <xdr:clientData/>
  </xdr:twoCellAnchor>
  <xdr:twoCellAnchor editAs="oneCell">
    <xdr:from>
      <xdr:col>4</xdr:col>
      <xdr:colOff>1398913</xdr:colOff>
      <xdr:row>0</xdr:row>
      <xdr:rowOff>140368</xdr:rowOff>
    </xdr:from>
    <xdr:to>
      <xdr:col>6</xdr:col>
      <xdr:colOff>356998</xdr:colOff>
      <xdr:row>4</xdr:row>
      <xdr:rowOff>50132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5281" y="140368"/>
          <a:ext cx="1073638" cy="711869"/>
        </a:xfrm>
        <a:prstGeom prst="rect">
          <a:avLst/>
        </a:prstGeom>
        <a:solidFill>
          <a:schemeClr val="tx2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123825</xdr:rowOff>
    </xdr:from>
    <xdr:to>
      <xdr:col>1</xdr:col>
      <xdr:colOff>1587666</xdr:colOff>
      <xdr:row>4</xdr:row>
      <xdr:rowOff>161926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10D1C2-4CFF-450B-BA2C-C2F57F4BEFB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23825"/>
          <a:ext cx="1463841" cy="952501"/>
        </a:xfrm>
        <a:prstGeom prst="rect">
          <a:avLst/>
        </a:prstGeom>
      </xdr:spPr>
    </xdr:pic>
    <xdr:clientData/>
  </xdr:twoCellAnchor>
  <xdr:twoCellAnchor editAs="oneCell">
    <xdr:from>
      <xdr:col>11</xdr:col>
      <xdr:colOff>41847</xdr:colOff>
      <xdr:row>0</xdr:row>
      <xdr:rowOff>206546</xdr:rowOff>
    </xdr:from>
    <xdr:to>
      <xdr:col>13</xdr:col>
      <xdr:colOff>219075</xdr:colOff>
      <xdr:row>4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952117-A77B-450F-B1ED-4E425E4C5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00147" y="206546"/>
          <a:ext cx="1110677" cy="736429"/>
        </a:xfrm>
        <a:prstGeom prst="rect">
          <a:avLst/>
        </a:prstGeom>
        <a:solidFill>
          <a:srgbClr val="1F497D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123825</xdr:rowOff>
    </xdr:from>
    <xdr:to>
      <xdr:col>1</xdr:col>
      <xdr:colOff>1587666</xdr:colOff>
      <xdr:row>4</xdr:row>
      <xdr:rowOff>161926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6E382E-8847-4D36-A096-06C76E55CCD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23825"/>
          <a:ext cx="1463841" cy="952501"/>
        </a:xfrm>
        <a:prstGeom prst="rect">
          <a:avLst/>
        </a:prstGeom>
      </xdr:spPr>
    </xdr:pic>
    <xdr:clientData/>
  </xdr:twoCellAnchor>
  <xdr:twoCellAnchor editAs="oneCell">
    <xdr:from>
      <xdr:col>11</xdr:col>
      <xdr:colOff>41847</xdr:colOff>
      <xdr:row>0</xdr:row>
      <xdr:rowOff>206546</xdr:rowOff>
    </xdr:from>
    <xdr:to>
      <xdr:col>13</xdr:col>
      <xdr:colOff>229101</xdr:colOff>
      <xdr:row>4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896762-8789-4315-994B-7ADC22161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47772" y="206546"/>
          <a:ext cx="1111179" cy="736429"/>
        </a:xfrm>
        <a:prstGeom prst="rect">
          <a:avLst/>
        </a:prstGeom>
        <a:solidFill>
          <a:srgbClr val="1F497D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8"/>
  <sheetViews>
    <sheetView tabSelected="1" zoomScale="95" zoomScaleNormal="95" workbookViewId="0">
      <selection activeCell="I9" sqref="I9"/>
    </sheetView>
  </sheetViews>
  <sheetFormatPr baseColWidth="10" defaultColWidth="11.42578125" defaultRowHeight="12.75" x14ac:dyDescent="0.2"/>
  <cols>
    <col min="1" max="1" width="5.140625" style="82" customWidth="1"/>
    <col min="2" max="2" width="25.42578125" style="82" customWidth="1"/>
    <col min="3" max="3" width="6.85546875" style="72" customWidth="1"/>
    <col min="4" max="4" width="15.140625" style="14" customWidth="1"/>
    <col min="5" max="5" width="14.5703125" style="14" customWidth="1"/>
    <col min="6" max="6" width="14.5703125" style="14" hidden="1" customWidth="1"/>
    <col min="7" max="7" width="7.28515625" style="14" customWidth="1"/>
    <col min="8" max="8" width="8.28515625" style="82" bestFit="1" customWidth="1"/>
    <col min="9" max="9" width="22.28515625" style="82" customWidth="1"/>
    <col min="10" max="10" width="6.5703125" style="72" customWidth="1"/>
    <col min="11" max="11" width="14.42578125" style="21" customWidth="1"/>
    <col min="12" max="12" width="13.5703125" style="14" customWidth="1"/>
    <col min="13" max="13" width="13.28515625" style="14" hidden="1" customWidth="1"/>
    <col min="14" max="14" width="7.7109375" style="82" customWidth="1"/>
    <col min="15" max="15" width="6.140625" style="82" hidden="1" customWidth="1"/>
    <col min="16" max="17" width="6.5703125" style="82" hidden="1" customWidth="1"/>
    <col min="18" max="18" width="7.85546875" style="82" hidden="1" customWidth="1"/>
    <col min="19" max="19" width="7" style="82" hidden="1" customWidth="1"/>
    <col min="20" max="22" width="11.42578125" style="82" hidden="1" customWidth="1"/>
    <col min="23" max="23" width="7.85546875" style="82" customWidth="1"/>
    <col min="24" max="24" width="4.85546875" style="82" customWidth="1"/>
    <col min="25" max="16384" width="11.42578125" style="82"/>
  </cols>
  <sheetData>
    <row r="1" spans="1:25" s="1" customFormat="1" ht="18" x14ac:dyDescent="0.25">
      <c r="A1" s="212" t="s">
        <v>174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</row>
    <row r="2" spans="1:25" s="1" customFormat="1" ht="18" x14ac:dyDescent="0.25">
      <c r="A2" s="215" t="s">
        <v>167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7"/>
    </row>
    <row r="3" spans="1:25" s="1" customFormat="1" ht="18" x14ac:dyDescent="0.25">
      <c r="A3" s="215" t="s">
        <v>173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7"/>
    </row>
    <row r="4" spans="1:25" s="1" customFormat="1" ht="18" x14ac:dyDescent="0.25">
      <c r="A4" s="215" t="s">
        <v>254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7"/>
    </row>
    <row r="5" spans="1:25" s="1" customFormat="1" ht="18" x14ac:dyDescent="0.25">
      <c r="A5" s="218" t="s">
        <v>68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20"/>
    </row>
    <row r="6" spans="1:25" s="2" customFormat="1" ht="14.25" customHeight="1" x14ac:dyDescent="0.2">
      <c r="A6" s="221" t="s">
        <v>0</v>
      </c>
      <c r="B6" s="222" t="s">
        <v>38</v>
      </c>
      <c r="C6" s="226" t="s">
        <v>197</v>
      </c>
      <c r="D6" s="94">
        <v>2024</v>
      </c>
      <c r="E6" s="94">
        <v>2023</v>
      </c>
      <c r="F6" s="44" t="s">
        <v>2</v>
      </c>
      <c r="G6" s="223" t="s">
        <v>151</v>
      </c>
      <c r="H6" s="224" t="s">
        <v>0</v>
      </c>
      <c r="I6" s="222" t="s">
        <v>38</v>
      </c>
      <c r="J6" s="226" t="s">
        <v>197</v>
      </c>
      <c r="K6" s="94">
        <v>2024</v>
      </c>
      <c r="L6" s="94">
        <v>2023</v>
      </c>
      <c r="M6" s="44" t="s">
        <v>2</v>
      </c>
      <c r="N6" s="225" t="s">
        <v>151</v>
      </c>
      <c r="P6" s="228" t="s">
        <v>1</v>
      </c>
      <c r="Q6" s="228"/>
      <c r="R6" s="228" t="s">
        <v>4</v>
      </c>
      <c r="S6" s="228"/>
    </row>
    <row r="7" spans="1:25" s="2" customFormat="1" ht="12" customHeight="1" x14ac:dyDescent="0.2">
      <c r="A7" s="221"/>
      <c r="B7" s="222"/>
      <c r="C7" s="226"/>
      <c r="D7" s="94" t="s">
        <v>253</v>
      </c>
      <c r="E7" s="94" t="s">
        <v>253</v>
      </c>
      <c r="F7" s="44" t="s">
        <v>5</v>
      </c>
      <c r="G7" s="223"/>
      <c r="H7" s="224"/>
      <c r="I7" s="222"/>
      <c r="J7" s="226"/>
      <c r="K7" s="94" t="s">
        <v>253</v>
      </c>
      <c r="L7" s="94" t="s">
        <v>253</v>
      </c>
      <c r="M7" s="44" t="s">
        <v>5</v>
      </c>
      <c r="N7" s="225"/>
    </row>
    <row r="8" spans="1:25" s="2" customFormat="1" ht="15.75" customHeight="1" x14ac:dyDescent="0.2">
      <c r="A8" s="110"/>
      <c r="B8" s="186" t="s">
        <v>1</v>
      </c>
      <c r="C8" s="44"/>
      <c r="D8" s="90"/>
      <c r="E8" s="90"/>
      <c r="F8" s="90"/>
      <c r="G8" s="125"/>
      <c r="H8" s="42"/>
      <c r="I8" s="186" t="s">
        <v>3</v>
      </c>
      <c r="J8" s="44"/>
      <c r="K8" s="20"/>
      <c r="L8" s="43"/>
      <c r="M8" s="43"/>
      <c r="N8" s="111"/>
    </row>
    <row r="9" spans="1:25" s="2" customFormat="1" ht="21.75" customHeight="1" x14ac:dyDescent="0.2">
      <c r="A9" s="110"/>
      <c r="B9" s="41" t="s">
        <v>69</v>
      </c>
      <c r="C9" s="44"/>
      <c r="D9" s="128">
        <f>+D10+D13+D16+D22+D26</f>
        <v>243170033252.34998</v>
      </c>
      <c r="E9" s="128">
        <f t="shared" ref="E9:F9" si="0">+E10+E13+E16+E22+E26</f>
        <v>197119414558.31998</v>
      </c>
      <c r="F9" s="128">
        <f t="shared" si="0"/>
        <v>46050618694.030006</v>
      </c>
      <c r="G9" s="129">
        <f t="shared" ref="G9:G20" si="1">+F9/E9</f>
        <v>0.23361787471424036</v>
      </c>
      <c r="H9" s="42"/>
      <c r="I9" s="41" t="s">
        <v>93</v>
      </c>
      <c r="J9" s="44"/>
      <c r="K9" s="128">
        <f>+K10+K19+K22+K25</f>
        <v>24419808937.98</v>
      </c>
      <c r="L9" s="128">
        <f t="shared" ref="L9:M9" si="2">+L10+L19+L22+L25</f>
        <v>14593162324.369999</v>
      </c>
      <c r="M9" s="128">
        <f t="shared" si="2"/>
        <v>9826646613.6100006</v>
      </c>
      <c r="N9" s="130">
        <f>+M9/L9</f>
        <v>0.67337335083293726</v>
      </c>
      <c r="P9" s="33">
        <f>+D9/D9*100</f>
        <v>100</v>
      </c>
      <c r="Q9" s="40">
        <f>+D9/D54*100</f>
        <v>42.124932356119935</v>
      </c>
    </row>
    <row r="10" spans="1:25" s="2" customFormat="1" ht="26.25" customHeight="1" x14ac:dyDescent="0.2">
      <c r="A10" s="115">
        <v>11</v>
      </c>
      <c r="B10" s="141" t="s">
        <v>70</v>
      </c>
      <c r="C10" s="44">
        <v>5</v>
      </c>
      <c r="D10" s="202">
        <f>SUM(D11:D12)</f>
        <v>221595797855.75</v>
      </c>
      <c r="E10" s="202">
        <f t="shared" ref="E10:F10" si="3">SUM(E11:E12)</f>
        <v>107366811827.32001</v>
      </c>
      <c r="F10" s="202">
        <f t="shared" si="3"/>
        <v>114228986028.43001</v>
      </c>
      <c r="G10" s="203">
        <f t="shared" si="1"/>
        <v>1.0639133647010639</v>
      </c>
      <c r="H10" s="210">
        <v>24</v>
      </c>
      <c r="I10" s="209" t="s">
        <v>94</v>
      </c>
      <c r="J10" s="44">
        <v>21</v>
      </c>
      <c r="K10" s="202">
        <f>SUM(K11:K17)</f>
        <v>3512678253.3199997</v>
      </c>
      <c r="L10" s="202">
        <f t="shared" ref="L10:M10" si="4">SUM(L11:L17)</f>
        <v>2698904998.4000001</v>
      </c>
      <c r="M10" s="202">
        <f t="shared" si="4"/>
        <v>813773254.91999984</v>
      </c>
      <c r="N10" s="211">
        <f t="shared" ref="N10:N14" si="5">+M10/L10</f>
        <v>0.30151978502482729</v>
      </c>
    </row>
    <row r="11" spans="1:25" s="2" customFormat="1" ht="24.75" customHeight="1" x14ac:dyDescent="0.2">
      <c r="A11" s="110">
        <v>1110</v>
      </c>
      <c r="B11" s="77" t="s">
        <v>71</v>
      </c>
      <c r="C11" s="69" t="s">
        <v>198</v>
      </c>
      <c r="D11" s="204">
        <v>221314187087.20001</v>
      </c>
      <c r="E11" s="204">
        <v>107215854222.8</v>
      </c>
      <c r="F11" s="205">
        <f>+D11-E11</f>
        <v>114098332864.40001</v>
      </c>
      <c r="G11" s="206">
        <f t="shared" ref="G11:G14" si="6">+F11/E11</f>
        <v>1.0641927324227429</v>
      </c>
      <c r="H11" s="47">
        <v>2401</v>
      </c>
      <c r="I11" s="77" t="s">
        <v>95</v>
      </c>
      <c r="J11" s="69" t="s">
        <v>215</v>
      </c>
      <c r="K11" s="188">
        <v>1082348460.8699999</v>
      </c>
      <c r="L11" s="188">
        <v>242895061.5</v>
      </c>
      <c r="M11" s="75">
        <f>+K11-L11</f>
        <v>839453399.36999989</v>
      </c>
      <c r="N11" s="113">
        <f t="shared" si="5"/>
        <v>3.456033211156909</v>
      </c>
    </row>
    <row r="12" spans="1:25" s="2" customFormat="1" ht="26.25" customHeight="1" x14ac:dyDescent="0.2">
      <c r="A12" s="110">
        <v>1133</v>
      </c>
      <c r="B12" s="42" t="s">
        <v>72</v>
      </c>
      <c r="C12" s="69" t="s">
        <v>199</v>
      </c>
      <c r="D12" s="204">
        <v>281610768.55000001</v>
      </c>
      <c r="E12" s="204">
        <v>150957604.52000001</v>
      </c>
      <c r="F12" s="205">
        <f>+D12-E12</f>
        <v>130653164.03</v>
      </c>
      <c r="G12" s="206">
        <f t="shared" si="6"/>
        <v>0.86549574263209827</v>
      </c>
      <c r="H12" s="47">
        <v>2407</v>
      </c>
      <c r="I12" s="77" t="s">
        <v>96</v>
      </c>
      <c r="J12" s="69" t="s">
        <v>216</v>
      </c>
      <c r="K12" s="188">
        <v>340190712</v>
      </c>
      <c r="L12" s="188">
        <v>222670619</v>
      </c>
      <c r="M12" s="75">
        <f t="shared" ref="M12:M14" si="7">+K12-L12</f>
        <v>117520093</v>
      </c>
      <c r="N12" s="113">
        <f t="shared" si="5"/>
        <v>0.52777548078761127</v>
      </c>
      <c r="P12" s="11">
        <f>+D10/$D$9*100</f>
        <v>91.127921846269899</v>
      </c>
      <c r="S12" s="11">
        <f>+K10/$K$35*100</f>
        <v>959.12819978779123</v>
      </c>
    </row>
    <row r="13" spans="1:25" s="2" customFormat="1" ht="22.5" customHeight="1" x14ac:dyDescent="0.2">
      <c r="A13" s="115">
        <v>12</v>
      </c>
      <c r="B13" s="141" t="s">
        <v>179</v>
      </c>
      <c r="C13" s="69">
        <v>6</v>
      </c>
      <c r="D13" s="76">
        <f>+D14</f>
        <v>0</v>
      </c>
      <c r="E13" s="76">
        <f>+E14</f>
        <v>74261727405.990005</v>
      </c>
      <c r="F13" s="76">
        <f>+F14</f>
        <v>-74261727405.990005</v>
      </c>
      <c r="G13" s="126">
        <f t="shared" si="6"/>
        <v>-1</v>
      </c>
      <c r="H13" s="47">
        <v>2424</v>
      </c>
      <c r="I13" s="77" t="s">
        <v>97</v>
      </c>
      <c r="J13" s="69" t="s">
        <v>217</v>
      </c>
      <c r="K13" s="188">
        <v>713180876</v>
      </c>
      <c r="L13" s="188">
        <v>579719528.75999999</v>
      </c>
      <c r="M13" s="75">
        <f t="shared" si="7"/>
        <v>133461347.24000001</v>
      </c>
      <c r="N13" s="113">
        <f t="shared" si="5"/>
        <v>0.23021709743928967</v>
      </c>
      <c r="P13" s="11">
        <f>+D18/$D$9*100</f>
        <v>5.2616798055548859</v>
      </c>
      <c r="R13" s="11">
        <f>+K11/$K$10*100</f>
        <v>30.81262736907432</v>
      </c>
      <c r="S13" s="11"/>
    </row>
    <row r="14" spans="1:25" s="2" customFormat="1" ht="33.75" x14ac:dyDescent="0.2">
      <c r="A14" s="110">
        <v>1223</v>
      </c>
      <c r="B14" s="77" t="s">
        <v>180</v>
      </c>
      <c r="C14" s="69" t="s">
        <v>200</v>
      </c>
      <c r="D14" s="75">
        <v>0</v>
      </c>
      <c r="E14" s="188">
        <v>74261727405.990005</v>
      </c>
      <c r="F14" s="75">
        <f>+D14-E14</f>
        <v>-74261727405.990005</v>
      </c>
      <c r="G14" s="127">
        <f t="shared" si="6"/>
        <v>-1</v>
      </c>
      <c r="H14" s="47">
        <v>2436</v>
      </c>
      <c r="I14" s="77" t="s">
        <v>98</v>
      </c>
      <c r="J14" s="69"/>
      <c r="K14" s="188">
        <v>657363677</v>
      </c>
      <c r="L14" s="188">
        <v>461562681</v>
      </c>
      <c r="M14" s="75">
        <f t="shared" si="7"/>
        <v>195800996</v>
      </c>
      <c r="N14" s="113">
        <f t="shared" si="5"/>
        <v>0.42421323053195453</v>
      </c>
      <c r="P14" s="11"/>
      <c r="R14" s="11"/>
      <c r="S14" s="11"/>
      <c r="Y14" s="12"/>
    </row>
    <row r="15" spans="1:25" s="2" customFormat="1" ht="22.5" x14ac:dyDescent="0.2">
      <c r="A15" s="110"/>
      <c r="B15" s="77"/>
      <c r="C15" s="69"/>
      <c r="D15" s="75"/>
      <c r="E15" s="188"/>
      <c r="F15" s="75"/>
      <c r="G15" s="127"/>
      <c r="H15" s="47">
        <v>2440</v>
      </c>
      <c r="I15" s="77" t="s">
        <v>99</v>
      </c>
      <c r="J15" s="69" t="s">
        <v>218</v>
      </c>
      <c r="K15" s="188">
        <v>136458613</v>
      </c>
      <c r="L15" s="188">
        <v>13523000</v>
      </c>
      <c r="M15" s="75">
        <f t="shared" ref="M15:M16" si="8">+K15-L15</f>
        <v>122935613</v>
      </c>
      <c r="N15" s="113">
        <f>+M15/L15</f>
        <v>9.0908535827848844</v>
      </c>
      <c r="P15" s="11"/>
      <c r="R15" s="11">
        <f>+K12/$K$10*100</f>
        <v>9.6846533461602853</v>
      </c>
      <c r="S15" s="11"/>
    </row>
    <row r="16" spans="1:25" s="2" customFormat="1" ht="20.25" customHeight="1" x14ac:dyDescent="0.2">
      <c r="A16" s="115">
        <v>13</v>
      </c>
      <c r="B16" s="45" t="s">
        <v>73</v>
      </c>
      <c r="C16" s="44">
        <v>7</v>
      </c>
      <c r="D16" s="76">
        <f>SUM(D17:D21)</f>
        <v>20126649071.799999</v>
      </c>
      <c r="E16" s="76">
        <f t="shared" ref="E16:F16" si="9">SUM(E17:E21)</f>
        <v>14604788741.629999</v>
      </c>
      <c r="F16" s="76">
        <f t="shared" si="9"/>
        <v>5521860330.1700001</v>
      </c>
      <c r="G16" s="126">
        <f t="shared" si="1"/>
        <v>0.37808560108988754</v>
      </c>
      <c r="H16" s="42">
        <v>2490</v>
      </c>
      <c r="I16" s="42" t="s">
        <v>100</v>
      </c>
      <c r="J16" s="69" t="s">
        <v>219</v>
      </c>
      <c r="K16" s="188">
        <v>583135914.45000005</v>
      </c>
      <c r="L16" s="188">
        <v>1178534108.1400001</v>
      </c>
      <c r="M16" s="75">
        <f t="shared" si="8"/>
        <v>-595398193.69000006</v>
      </c>
      <c r="N16" s="113">
        <f t="shared" ref="N16" si="10">+M16/L16</f>
        <v>-0.50520234380800089</v>
      </c>
      <c r="P16" s="11">
        <f>+D20/$D$9*100</f>
        <v>5.8572102037010999E-4</v>
      </c>
      <c r="R16" s="11">
        <f>+K13/$K$10*100</f>
        <v>20.303051534137484</v>
      </c>
      <c r="S16" s="11"/>
    </row>
    <row r="17" spans="1:30" s="2" customFormat="1" ht="18.75" customHeight="1" x14ac:dyDescent="0.2">
      <c r="A17" s="114">
        <v>1316</v>
      </c>
      <c r="B17" s="77" t="s">
        <v>7</v>
      </c>
      <c r="C17" s="69" t="s">
        <v>201</v>
      </c>
      <c r="D17" s="188">
        <v>251000</v>
      </c>
      <c r="E17" s="188">
        <v>2799550</v>
      </c>
      <c r="F17" s="75">
        <f t="shared" ref="F17:F20" si="11">+D17-E17</f>
        <v>-2548550</v>
      </c>
      <c r="G17" s="127">
        <f t="shared" si="1"/>
        <v>-0.91034273365362295</v>
      </c>
      <c r="H17" s="42"/>
      <c r="I17" s="42"/>
      <c r="J17" s="69"/>
      <c r="K17" s="188"/>
      <c r="L17" s="75"/>
      <c r="M17" s="75"/>
      <c r="N17" s="113"/>
      <c r="P17" s="11">
        <f>+D22/$D$20*100</f>
        <v>44691.782549719239</v>
      </c>
      <c r="R17" s="11">
        <f>+K15/$K$10*100</f>
        <v>3.8847455747199859</v>
      </c>
      <c r="S17" s="11"/>
    </row>
    <row r="18" spans="1:30" s="2" customFormat="1" ht="18.75" customHeight="1" x14ac:dyDescent="0.2">
      <c r="A18" s="117">
        <v>1317</v>
      </c>
      <c r="B18" s="77" t="s">
        <v>74</v>
      </c>
      <c r="C18" s="69" t="s">
        <v>202</v>
      </c>
      <c r="D18" s="188">
        <f>10340132711.8+2454695821</f>
        <v>12794828532.799999</v>
      </c>
      <c r="E18" s="188">
        <f>14531886877-2258580</f>
        <v>14529628297</v>
      </c>
      <c r="F18" s="75">
        <f t="shared" si="11"/>
        <v>-1734799764.2000008</v>
      </c>
      <c r="G18" s="127">
        <f t="shared" si="1"/>
        <v>-0.11939739467101117</v>
      </c>
      <c r="H18" s="46"/>
      <c r="I18" s="141"/>
      <c r="J18" s="44"/>
      <c r="K18" s="76"/>
      <c r="L18" s="76"/>
      <c r="M18" s="76"/>
      <c r="N18" s="112"/>
      <c r="P18" s="11"/>
      <c r="R18" s="11">
        <f>+K16/$K$10*100</f>
        <v>16.600891752577979</v>
      </c>
      <c r="S18" s="11">
        <f>+K16/$K$35*100</f>
        <v>159.22383421522107</v>
      </c>
    </row>
    <row r="19" spans="1:30" s="2" customFormat="1" ht="24" customHeight="1" x14ac:dyDescent="0.2">
      <c r="A19" s="117">
        <v>1337</v>
      </c>
      <c r="B19" s="77" t="s">
        <v>161</v>
      </c>
      <c r="C19" s="69" t="s">
        <v>203</v>
      </c>
      <c r="D19" s="188">
        <v>7330145241</v>
      </c>
      <c r="E19" s="188">
        <v>62667680.979999997</v>
      </c>
      <c r="F19" s="75">
        <f t="shared" si="11"/>
        <v>7267477560.0200005</v>
      </c>
      <c r="G19" s="127">
        <f t="shared" si="1"/>
        <v>115.96850954704023</v>
      </c>
      <c r="H19" s="208">
        <v>25</v>
      </c>
      <c r="I19" s="141" t="s">
        <v>101</v>
      </c>
      <c r="J19" s="44">
        <v>22</v>
      </c>
      <c r="K19" s="76">
        <f>+K20</f>
        <v>5893293746.7299995</v>
      </c>
      <c r="L19" s="76">
        <f>+L20</f>
        <v>4674841456.6099997</v>
      </c>
      <c r="M19" s="76">
        <f>+M20</f>
        <v>1218452290.1199999</v>
      </c>
      <c r="N19" s="112">
        <f>+M19/L19</f>
        <v>0.26064034501045319</v>
      </c>
      <c r="R19" s="11" t="e">
        <f>+#REF!/$K$10*100</f>
        <v>#REF!</v>
      </c>
      <c r="S19" s="11"/>
    </row>
    <row r="20" spans="1:30" s="2" customFormat="1" ht="24.75" customHeight="1" x14ac:dyDescent="0.2">
      <c r="A20" s="117">
        <v>1384</v>
      </c>
      <c r="B20" s="77" t="s">
        <v>75</v>
      </c>
      <c r="C20" s="69" t="s">
        <v>204</v>
      </c>
      <c r="D20" s="188">
        <v>1424298</v>
      </c>
      <c r="E20" s="188">
        <v>9693213.6500000004</v>
      </c>
      <c r="F20" s="75">
        <f t="shared" si="11"/>
        <v>-8268915.6500000004</v>
      </c>
      <c r="G20" s="127">
        <f t="shared" si="1"/>
        <v>-0.8530623535776497</v>
      </c>
      <c r="H20" s="50">
        <v>2511</v>
      </c>
      <c r="I20" s="77" t="s">
        <v>102</v>
      </c>
      <c r="J20" s="69" t="s">
        <v>220</v>
      </c>
      <c r="K20" s="188">
        <v>5893293746.7299995</v>
      </c>
      <c r="L20" s="188">
        <v>4674841456.6099997</v>
      </c>
      <c r="M20" s="75">
        <f>+K20-L20</f>
        <v>1218452290.1199999</v>
      </c>
      <c r="N20" s="113">
        <f>+M20/L20</f>
        <v>0.26064034501045319</v>
      </c>
      <c r="S20" s="11"/>
      <c r="X20" s="47"/>
      <c r="Y20" s="12"/>
      <c r="AD20" s="127"/>
    </row>
    <row r="21" spans="1:30" s="2" customFormat="1" ht="1.5" hidden="1" customHeight="1" x14ac:dyDescent="0.2">
      <c r="A21" s="117"/>
      <c r="B21" s="77"/>
      <c r="C21" s="69"/>
      <c r="D21" s="188"/>
      <c r="E21" s="188"/>
      <c r="F21" s="75"/>
      <c r="G21" s="127"/>
      <c r="H21" s="208"/>
      <c r="I21" s="45"/>
      <c r="J21" s="44"/>
      <c r="K21" s="76"/>
      <c r="L21" s="76"/>
      <c r="M21" s="76"/>
      <c r="N21" s="112"/>
      <c r="P21" s="11" t="e">
        <f>+#REF!/$D$20*100</f>
        <v>#REF!</v>
      </c>
      <c r="Q21" s="11"/>
      <c r="R21" s="11"/>
      <c r="S21" s="11">
        <f>+K18/$K$35*100</f>
        <v>0</v>
      </c>
      <c r="X21" s="47"/>
      <c r="Y21" s="12"/>
      <c r="AD21" s="127"/>
    </row>
    <row r="22" spans="1:30" s="2" customFormat="1" ht="18" customHeight="1" x14ac:dyDescent="0.2">
      <c r="A22" s="115">
        <v>15</v>
      </c>
      <c r="B22" s="45" t="s">
        <v>77</v>
      </c>
      <c r="C22" s="44">
        <v>9</v>
      </c>
      <c r="D22" s="76">
        <f>SUM(D23:D25)</f>
        <v>636544165.0200001</v>
      </c>
      <c r="E22" s="76">
        <f>SUM(E23:E25)</f>
        <v>494738503.08000004</v>
      </c>
      <c r="F22" s="76">
        <f>SUM(F23:F25)</f>
        <v>141805661.93999997</v>
      </c>
      <c r="G22" s="126">
        <f t="shared" ref="G22:G27" si="12">+F22/E22</f>
        <v>0.28662750333193648</v>
      </c>
      <c r="H22" s="208">
        <v>27</v>
      </c>
      <c r="I22" s="45" t="s">
        <v>103</v>
      </c>
      <c r="J22" s="44">
        <v>23</v>
      </c>
      <c r="K22" s="76">
        <f>SUM(K23:K24)</f>
        <v>199590594</v>
      </c>
      <c r="L22" s="76">
        <f>SUM(L23:L24)</f>
        <v>161712073</v>
      </c>
      <c r="M22" s="76">
        <f>SUM(M23:M24)</f>
        <v>37878521</v>
      </c>
      <c r="N22" s="112">
        <f>+M22/L22</f>
        <v>0.23423434192201592</v>
      </c>
      <c r="P22" s="11">
        <f>+D23/$D$20*100</f>
        <v>8943.3998545248251</v>
      </c>
      <c r="R22" s="11"/>
      <c r="S22" s="11"/>
    </row>
    <row r="23" spans="1:30" s="2" customFormat="1" ht="19.5" customHeight="1" x14ac:dyDescent="0.2">
      <c r="A23" s="117">
        <v>1510</v>
      </c>
      <c r="B23" s="77" t="s">
        <v>78</v>
      </c>
      <c r="C23" s="69" t="s">
        <v>205</v>
      </c>
      <c r="D23" s="188">
        <v>127380665.26000001</v>
      </c>
      <c r="E23" s="188">
        <v>122050863.87</v>
      </c>
      <c r="F23" s="75">
        <f>+D23-E23</f>
        <v>5329801.3900000006</v>
      </c>
      <c r="G23" s="127">
        <f t="shared" si="12"/>
        <v>4.3668690421371621E-2</v>
      </c>
      <c r="H23" s="47">
        <v>2701</v>
      </c>
      <c r="I23" s="77" t="s">
        <v>28</v>
      </c>
      <c r="J23" s="69" t="s">
        <v>221</v>
      </c>
      <c r="K23" s="188">
        <v>199590594</v>
      </c>
      <c r="L23" s="188">
        <v>161712073</v>
      </c>
      <c r="M23" s="75">
        <f>+K23-L23</f>
        <v>37878521</v>
      </c>
      <c r="N23" s="113">
        <f>+M23/L23</f>
        <v>0.23423434192201592</v>
      </c>
      <c r="P23" s="11">
        <f>+D24/$D$20*100</f>
        <v>35562.464995387199</v>
      </c>
      <c r="R23" s="11"/>
      <c r="S23" s="11"/>
    </row>
    <row r="24" spans="1:30" s="2" customFormat="1" ht="20.25" customHeight="1" x14ac:dyDescent="0.2">
      <c r="A24" s="117">
        <v>1514</v>
      </c>
      <c r="B24" s="77" t="s">
        <v>79</v>
      </c>
      <c r="C24" s="69" t="s">
        <v>205</v>
      </c>
      <c r="D24" s="188">
        <v>506515477.68000001</v>
      </c>
      <c r="E24" s="188">
        <v>369591096.05000001</v>
      </c>
      <c r="F24" s="75">
        <f>+D24-E24</f>
        <v>136924381.63</v>
      </c>
      <c r="G24" s="127">
        <f t="shared" si="12"/>
        <v>0.37047532555133911</v>
      </c>
      <c r="H24" s="48"/>
      <c r="I24" s="49"/>
      <c r="J24" s="70"/>
      <c r="K24" s="75"/>
      <c r="L24" s="75"/>
      <c r="M24" s="75"/>
      <c r="N24" s="113"/>
      <c r="P24" s="11"/>
      <c r="R24" s="11"/>
      <c r="S24" s="11">
        <f>+K21/$K$35*100</f>
        <v>0</v>
      </c>
      <c r="Y24" s="12"/>
    </row>
    <row r="25" spans="1:30" s="2" customFormat="1" ht="18.75" customHeight="1" x14ac:dyDescent="0.2">
      <c r="A25" s="110">
        <v>1530</v>
      </c>
      <c r="B25" s="42" t="s">
        <v>9</v>
      </c>
      <c r="C25" s="69" t="s">
        <v>205</v>
      </c>
      <c r="D25" s="188">
        <v>2648022.08</v>
      </c>
      <c r="E25" s="188">
        <v>3096543.16</v>
      </c>
      <c r="F25" s="75">
        <f t="shared" ref="F25" si="13">+D25-E25</f>
        <v>-448521.08000000007</v>
      </c>
      <c r="G25" s="127">
        <f t="shared" si="12"/>
        <v>-0.14484573823928229</v>
      </c>
      <c r="H25" s="46">
        <v>29</v>
      </c>
      <c r="I25" s="45" t="s">
        <v>10</v>
      </c>
      <c r="J25" s="44">
        <v>24</v>
      </c>
      <c r="K25" s="76">
        <f>SUM(K26:K28)</f>
        <v>14814246343.93</v>
      </c>
      <c r="L25" s="76">
        <f t="shared" ref="L25:M25" si="14">SUM(L26:L28)</f>
        <v>7057703796.3599997</v>
      </c>
      <c r="M25" s="76">
        <f t="shared" si="14"/>
        <v>7756542547.5700006</v>
      </c>
      <c r="N25" s="112">
        <f>+M25/L25</f>
        <v>1.0990178635111361</v>
      </c>
      <c r="P25" s="11" t="e">
        <f>+#REF!/$D$9*100</f>
        <v>#REF!</v>
      </c>
      <c r="R25" s="11"/>
      <c r="S25" s="11"/>
      <c r="Z25" s="12"/>
    </row>
    <row r="26" spans="1:30" s="2" customFormat="1" ht="24.75" customHeight="1" x14ac:dyDescent="0.2">
      <c r="A26" s="115">
        <v>19</v>
      </c>
      <c r="B26" s="45" t="s">
        <v>11</v>
      </c>
      <c r="C26" s="44">
        <v>16</v>
      </c>
      <c r="D26" s="76">
        <f>SUM(D27:D27)</f>
        <v>811042159.77999997</v>
      </c>
      <c r="E26" s="76">
        <f>SUM(E27:E27)</f>
        <v>391348080.30000001</v>
      </c>
      <c r="F26" s="76">
        <f>SUM(F27:F27)</f>
        <v>419694079.47999996</v>
      </c>
      <c r="G26" s="126">
        <f t="shared" si="12"/>
        <v>1.0724316806620604</v>
      </c>
      <c r="H26" s="47">
        <v>2902</v>
      </c>
      <c r="I26" s="77" t="s">
        <v>104</v>
      </c>
      <c r="J26" s="69">
        <v>24</v>
      </c>
      <c r="K26" s="188">
        <v>8154958627.3400002</v>
      </c>
      <c r="L26" s="188">
        <v>3202938321.4899998</v>
      </c>
      <c r="M26" s="75">
        <f>+K26-L26</f>
        <v>4952020305.8500004</v>
      </c>
      <c r="N26" s="113">
        <f>+M26/L26</f>
        <v>1.5460866894078471</v>
      </c>
      <c r="R26" s="11"/>
      <c r="S26" s="11"/>
    </row>
    <row r="27" spans="1:30" s="2" customFormat="1" ht="23.25" customHeight="1" x14ac:dyDescent="0.2">
      <c r="A27" s="117">
        <v>1906</v>
      </c>
      <c r="B27" s="77" t="s">
        <v>8</v>
      </c>
      <c r="C27" s="70">
        <v>16</v>
      </c>
      <c r="D27" s="201">
        <v>811042159.77999997</v>
      </c>
      <c r="E27" s="201">
        <v>391348080.30000001</v>
      </c>
      <c r="F27" s="75">
        <f>+D27-E27</f>
        <v>419694079.47999996</v>
      </c>
      <c r="G27" s="127">
        <f t="shared" si="12"/>
        <v>1.0724316806620604</v>
      </c>
      <c r="H27" s="42">
        <v>2910</v>
      </c>
      <c r="I27" s="77" t="s">
        <v>12</v>
      </c>
      <c r="J27" s="69" t="s">
        <v>222</v>
      </c>
      <c r="K27" s="188">
        <f>2670824706.7+2454695821</f>
        <v>5125520527.6999998</v>
      </c>
      <c r="L27" s="188">
        <v>2122357893</v>
      </c>
      <c r="M27" s="75">
        <f>+K27-L27</f>
        <v>3003162634.6999998</v>
      </c>
      <c r="N27" s="113">
        <f>+M27/L27</f>
        <v>1.4150123523488127</v>
      </c>
      <c r="R27" s="11"/>
      <c r="S27" s="11"/>
    </row>
    <row r="28" spans="1:30" s="2" customFormat="1" ht="21.95" customHeight="1" x14ac:dyDescent="0.2">
      <c r="A28" s="110"/>
      <c r="B28" s="41" t="s">
        <v>80</v>
      </c>
      <c r="C28" s="44"/>
      <c r="D28" s="128">
        <f>D29+D32+D47+D49</f>
        <v>334089132879.03998</v>
      </c>
      <c r="E28" s="128">
        <f>E29+E32+E47+E49</f>
        <v>291482297842.84998</v>
      </c>
      <c r="F28" s="128">
        <f>F29+F32+F47+F49</f>
        <v>42606835036.19001</v>
      </c>
      <c r="G28" s="129">
        <f>+F28/E28</f>
        <v>0.14617297637457591</v>
      </c>
      <c r="H28" s="47" t="s">
        <v>155</v>
      </c>
      <c r="I28" s="77" t="s">
        <v>156</v>
      </c>
      <c r="J28" s="69" t="s">
        <v>222</v>
      </c>
      <c r="K28" s="188">
        <v>1533767188.8900001</v>
      </c>
      <c r="L28" s="188">
        <v>1732407581.8699999</v>
      </c>
      <c r="M28" s="75">
        <f>+K28-L28</f>
        <v>-198640392.97999978</v>
      </c>
      <c r="N28" s="113">
        <f>+M28/L28</f>
        <v>-0.11466146596148168</v>
      </c>
      <c r="R28" s="11"/>
      <c r="S28" s="11">
        <f>+K25/$K$35*100</f>
        <v>4044.9937063370585</v>
      </c>
    </row>
    <row r="29" spans="1:30" s="2" customFormat="1" ht="21" customHeight="1" x14ac:dyDescent="0.2">
      <c r="A29" s="115">
        <v>13</v>
      </c>
      <c r="B29" s="45" t="s">
        <v>73</v>
      </c>
      <c r="C29" s="44">
        <v>7</v>
      </c>
      <c r="D29" s="76">
        <f>SUM(D30:D31)</f>
        <v>721836.73999999464</v>
      </c>
      <c r="E29" s="76">
        <f>SUM(E30:E31)</f>
        <v>4268235.880000025</v>
      </c>
      <c r="F29" s="76">
        <f>SUM(F30:F31)</f>
        <v>-3546399.1400000304</v>
      </c>
      <c r="G29" s="126">
        <f>+F29/E29</f>
        <v>-0.83088171312594128</v>
      </c>
      <c r="H29" s="42"/>
      <c r="I29" s="77"/>
      <c r="J29" s="69"/>
      <c r="K29" s="75"/>
      <c r="L29" s="75"/>
      <c r="M29" s="75"/>
      <c r="N29" s="113"/>
      <c r="R29" s="11"/>
      <c r="S29" s="11"/>
    </row>
    <row r="30" spans="1:30" s="2" customFormat="1" ht="25.5" customHeight="1" x14ac:dyDescent="0.2">
      <c r="A30" s="117">
        <v>1385</v>
      </c>
      <c r="B30" s="77" t="s">
        <v>158</v>
      </c>
      <c r="C30" s="69" t="s">
        <v>206</v>
      </c>
      <c r="D30" s="188">
        <v>100426376</v>
      </c>
      <c r="E30" s="188">
        <v>175202847.30000001</v>
      </c>
      <c r="F30" s="75">
        <f t="shared" ref="F30:F31" si="15">+D30-E30</f>
        <v>-74776471.300000012</v>
      </c>
      <c r="G30" s="127">
        <f t="shared" ref="G30:G31" si="16">+F30/E30</f>
        <v>-0.42679940681534806</v>
      </c>
      <c r="H30" s="42"/>
      <c r="I30" s="41"/>
      <c r="J30" s="44"/>
      <c r="K30" s="76"/>
      <c r="L30" s="76"/>
      <c r="M30" s="76"/>
      <c r="N30" s="112"/>
      <c r="P30" s="11"/>
      <c r="R30" s="11"/>
      <c r="S30" s="11"/>
    </row>
    <row r="31" spans="1:30" s="2" customFormat="1" ht="24" customHeight="1" x14ac:dyDescent="0.2">
      <c r="A31" s="117">
        <v>1386</v>
      </c>
      <c r="B31" s="77" t="s">
        <v>76</v>
      </c>
      <c r="C31" s="69" t="s">
        <v>206</v>
      </c>
      <c r="D31" s="188">
        <v>-99704539.260000005</v>
      </c>
      <c r="E31" s="188">
        <v>-170934611.41999999</v>
      </c>
      <c r="F31" s="75">
        <f t="shared" si="15"/>
        <v>71230072.159999982</v>
      </c>
      <c r="G31" s="127">
        <f t="shared" si="16"/>
        <v>-0.41670947485867565</v>
      </c>
      <c r="H31" s="47"/>
      <c r="I31" s="77"/>
      <c r="J31" s="69"/>
      <c r="K31" s="75"/>
      <c r="L31" s="75"/>
      <c r="M31" s="75"/>
      <c r="N31" s="113"/>
      <c r="P31" s="11" t="e">
        <f>+#REF!/$D$9*100</f>
        <v>#REF!</v>
      </c>
      <c r="R31" s="11"/>
      <c r="S31" s="11"/>
    </row>
    <row r="32" spans="1:30" s="2" customFormat="1" ht="17.25" customHeight="1" x14ac:dyDescent="0.2">
      <c r="A32" s="115">
        <v>16</v>
      </c>
      <c r="B32" s="46" t="s">
        <v>81</v>
      </c>
      <c r="C32" s="44">
        <v>10</v>
      </c>
      <c r="D32" s="76">
        <f>SUM(D33:D46)</f>
        <v>332185944208.54999</v>
      </c>
      <c r="E32" s="76">
        <f t="shared" ref="E32:F32" si="17">SUM(E33:E46)</f>
        <v>289267866970.44995</v>
      </c>
      <c r="F32" s="76">
        <f t="shared" si="17"/>
        <v>42918077238.100006</v>
      </c>
      <c r="G32" s="126">
        <f>+F32/E32</f>
        <v>0.14836793898882755</v>
      </c>
      <c r="H32" s="42"/>
      <c r="I32" s="41" t="s">
        <v>105</v>
      </c>
      <c r="J32" s="131"/>
      <c r="K32" s="128">
        <f>+K34+K37</f>
        <v>441581678.38999999</v>
      </c>
      <c r="L32" s="128">
        <f t="shared" ref="L32:M32" si="18">+L34+L37</f>
        <v>422174325.54000002</v>
      </c>
      <c r="M32" s="128">
        <f t="shared" si="18"/>
        <v>19407352.849999964</v>
      </c>
      <c r="N32" s="130">
        <f>+M32/L32</f>
        <v>4.596999787984777E-2</v>
      </c>
      <c r="P32" s="11"/>
      <c r="S32" s="11"/>
    </row>
    <row r="33" spans="1:26" s="2" customFormat="1" ht="16.5" customHeight="1" x14ac:dyDescent="0.2">
      <c r="A33" s="117">
        <v>1605</v>
      </c>
      <c r="B33" s="42" t="s">
        <v>14</v>
      </c>
      <c r="C33" s="69" t="s">
        <v>207</v>
      </c>
      <c r="D33" s="75">
        <v>268587060279.28</v>
      </c>
      <c r="E33" s="75">
        <v>238583643185.28</v>
      </c>
      <c r="F33" s="75">
        <f t="shared" ref="F33:F44" si="19">+D33-E33</f>
        <v>30003417094</v>
      </c>
      <c r="G33" s="127">
        <f t="shared" ref="G33:G43" si="20">+F33/E33</f>
        <v>0.12575638754371715</v>
      </c>
      <c r="H33" s="47"/>
      <c r="I33" s="77"/>
      <c r="J33" s="69"/>
      <c r="K33" s="75"/>
      <c r="L33" s="75"/>
      <c r="M33" s="75"/>
      <c r="N33" s="113"/>
      <c r="R33" s="11"/>
    </row>
    <row r="34" spans="1:26" s="2" customFormat="1" ht="21.75" customHeight="1" x14ac:dyDescent="0.2">
      <c r="A34" s="117">
        <v>1615</v>
      </c>
      <c r="B34" s="77" t="s">
        <v>82</v>
      </c>
      <c r="C34" s="155" t="s">
        <v>208</v>
      </c>
      <c r="D34" s="75">
        <f>249733128.78</f>
        <v>249733128.78</v>
      </c>
      <c r="E34" s="75">
        <v>249733128.78</v>
      </c>
      <c r="F34" s="75">
        <f t="shared" si="19"/>
        <v>0</v>
      </c>
      <c r="G34" s="127">
        <f t="shared" si="20"/>
        <v>0</v>
      </c>
      <c r="H34" s="46">
        <v>25</v>
      </c>
      <c r="I34" s="91" t="s">
        <v>101</v>
      </c>
      <c r="J34" s="44">
        <v>22</v>
      </c>
      <c r="K34" s="76">
        <f>SUM(K35:K36)</f>
        <v>366236573.38999999</v>
      </c>
      <c r="L34" s="76">
        <f>SUM(L35:L36)</f>
        <v>363487885.54000002</v>
      </c>
      <c r="M34" s="76">
        <f>SUM(M35:M36)</f>
        <v>2748687.8499999642</v>
      </c>
      <c r="N34" s="112">
        <f>+M34/L34</f>
        <v>7.5619792552824566E-3</v>
      </c>
      <c r="P34" s="11"/>
      <c r="S34" s="11"/>
    </row>
    <row r="35" spans="1:26" s="2" customFormat="1" ht="24" customHeight="1" x14ac:dyDescent="0.2">
      <c r="A35" s="117">
        <v>1635</v>
      </c>
      <c r="B35" s="77" t="s">
        <v>16</v>
      </c>
      <c r="C35" s="155" t="s">
        <v>209</v>
      </c>
      <c r="D35" s="75">
        <v>63237054.619999997</v>
      </c>
      <c r="E35" s="188">
        <v>8426351</v>
      </c>
      <c r="F35" s="75">
        <f t="shared" si="19"/>
        <v>54810703.619999997</v>
      </c>
      <c r="G35" s="127">
        <f t="shared" si="20"/>
        <v>6.5046784331675713</v>
      </c>
      <c r="H35" s="47">
        <v>2512</v>
      </c>
      <c r="I35" s="77" t="s">
        <v>106</v>
      </c>
      <c r="J35" s="69" t="s">
        <v>223</v>
      </c>
      <c r="K35" s="188">
        <v>366236573.38999999</v>
      </c>
      <c r="L35" s="188">
        <v>363487885.54000002</v>
      </c>
      <c r="M35" s="75">
        <f>+K35-L35</f>
        <v>2748687.8499999642</v>
      </c>
      <c r="N35" s="113">
        <f>+M35/L35</f>
        <v>7.5619792552824566E-3</v>
      </c>
      <c r="R35" s="11" t="e">
        <f>+#REF!/$K$35*100</f>
        <v>#REF!</v>
      </c>
      <c r="S35" s="11"/>
    </row>
    <row r="36" spans="1:26" s="2" customFormat="1" ht="23.25" customHeight="1" x14ac:dyDescent="0.2">
      <c r="A36" s="117">
        <v>1637</v>
      </c>
      <c r="B36" s="77" t="s">
        <v>83</v>
      </c>
      <c r="C36" s="155" t="s">
        <v>209</v>
      </c>
      <c r="D36" s="75">
        <v>259308593.02000001</v>
      </c>
      <c r="E36" s="188">
        <v>395595434</v>
      </c>
      <c r="F36" s="75">
        <f t="shared" si="19"/>
        <v>-136286840.97999999</v>
      </c>
      <c r="G36" s="127">
        <f t="shared" si="20"/>
        <v>-0.34451065221344285</v>
      </c>
      <c r="H36" s="150"/>
      <c r="I36" s="77"/>
      <c r="J36" s="69"/>
      <c r="K36" s="75"/>
      <c r="L36" s="75"/>
      <c r="M36" s="75"/>
      <c r="N36" s="113"/>
      <c r="R36" s="11"/>
      <c r="S36" s="11"/>
    </row>
    <row r="37" spans="1:26" s="2" customFormat="1" ht="16.5" customHeight="1" x14ac:dyDescent="0.2">
      <c r="A37" s="117">
        <v>1640</v>
      </c>
      <c r="B37" s="77" t="s">
        <v>17</v>
      </c>
      <c r="C37" s="69" t="s">
        <v>207</v>
      </c>
      <c r="D37" s="75">
        <v>59024909680.839996</v>
      </c>
      <c r="E37" s="75">
        <v>45764095273.839996</v>
      </c>
      <c r="F37" s="75">
        <f t="shared" si="19"/>
        <v>13260814407</v>
      </c>
      <c r="G37" s="127">
        <f t="shared" si="20"/>
        <v>0.28976459225624074</v>
      </c>
      <c r="H37" s="46">
        <v>27</v>
      </c>
      <c r="I37" s="45" t="s">
        <v>103</v>
      </c>
      <c r="J37" s="44">
        <v>23</v>
      </c>
      <c r="K37" s="76">
        <f>+K38</f>
        <v>75345105</v>
      </c>
      <c r="L37" s="76">
        <f>+L38</f>
        <v>58686440</v>
      </c>
      <c r="M37" s="76">
        <f>SUM(M38:M39)</f>
        <v>16658665</v>
      </c>
      <c r="N37" s="112">
        <f>+M37/L37</f>
        <v>0.28385884371244874</v>
      </c>
      <c r="R37" s="11"/>
      <c r="S37" s="11"/>
    </row>
    <row r="38" spans="1:26" s="2" customFormat="1" ht="16.5" customHeight="1" x14ac:dyDescent="0.2">
      <c r="A38" s="117">
        <v>1655</v>
      </c>
      <c r="B38" s="77" t="s">
        <v>19</v>
      </c>
      <c r="C38" s="155" t="s">
        <v>209</v>
      </c>
      <c r="D38" s="75">
        <v>2110487934.7</v>
      </c>
      <c r="E38" s="188">
        <v>1756493436.8199999</v>
      </c>
      <c r="F38" s="75">
        <f t="shared" si="19"/>
        <v>353994497.88000011</v>
      </c>
      <c r="G38" s="127">
        <f t="shared" si="20"/>
        <v>0.20153476833985823</v>
      </c>
      <c r="H38" s="47">
        <v>2701</v>
      </c>
      <c r="I38" s="77" t="s">
        <v>28</v>
      </c>
      <c r="J38" s="69" t="s">
        <v>221</v>
      </c>
      <c r="K38" s="75">
        <v>75345105</v>
      </c>
      <c r="L38" s="75">
        <v>58686440</v>
      </c>
      <c r="M38" s="75">
        <f>+K38-L38</f>
        <v>16658665</v>
      </c>
      <c r="N38" s="113">
        <f>+M38/L38</f>
        <v>0.28385884371244874</v>
      </c>
      <c r="P38" s="40" t="e">
        <f>+#REF!/#REF!*100</f>
        <v>#REF!</v>
      </c>
      <c r="R38" s="11"/>
      <c r="S38" s="11"/>
      <c r="Z38" s="12"/>
    </row>
    <row r="39" spans="1:26" s="2" customFormat="1" ht="18" customHeight="1" x14ac:dyDescent="0.2">
      <c r="A39" s="117">
        <v>1660</v>
      </c>
      <c r="B39" s="77" t="s">
        <v>84</v>
      </c>
      <c r="C39" s="155" t="s">
        <v>209</v>
      </c>
      <c r="D39" s="75">
        <v>2518029693.46</v>
      </c>
      <c r="E39" s="188">
        <v>2511167714.6199999</v>
      </c>
      <c r="F39" s="75">
        <f t="shared" si="19"/>
        <v>6861978.8400001526</v>
      </c>
      <c r="G39" s="127">
        <f t="shared" si="20"/>
        <v>2.7325848449109005E-3</v>
      </c>
      <c r="H39" s="42"/>
      <c r="I39" s="42"/>
      <c r="J39" s="69"/>
      <c r="K39" s="75"/>
      <c r="L39" s="75"/>
      <c r="M39" s="75"/>
      <c r="N39" s="113"/>
      <c r="R39" s="11"/>
    </row>
    <row r="40" spans="1:26" s="2" customFormat="1" ht="24.95" customHeight="1" x14ac:dyDescent="0.2">
      <c r="A40" s="117">
        <v>1665</v>
      </c>
      <c r="B40" s="77" t="s">
        <v>85</v>
      </c>
      <c r="C40" s="155" t="s">
        <v>209</v>
      </c>
      <c r="D40" s="75">
        <v>1979488973.23</v>
      </c>
      <c r="E40" s="188">
        <v>1077877751.23</v>
      </c>
      <c r="F40" s="75">
        <f t="shared" si="19"/>
        <v>901611222</v>
      </c>
      <c r="G40" s="127">
        <f t="shared" si="20"/>
        <v>0.83646890472610946</v>
      </c>
      <c r="H40" s="42"/>
      <c r="I40" s="41" t="s">
        <v>13</v>
      </c>
      <c r="J40" s="44"/>
      <c r="K40" s="128">
        <f>+K9+K32</f>
        <v>24861390616.369999</v>
      </c>
      <c r="L40" s="128">
        <f t="shared" ref="L40:M40" si="21">+L9+L32</f>
        <v>15015336649.91</v>
      </c>
      <c r="M40" s="128">
        <f t="shared" si="21"/>
        <v>9846053966.460001</v>
      </c>
      <c r="N40" s="130">
        <f>+M40/L40</f>
        <v>0.65573314778253855</v>
      </c>
      <c r="P40" s="40">
        <f>+D32/D54*100</f>
        <v>57.545373672410626</v>
      </c>
      <c r="R40" s="11"/>
      <c r="S40" s="11"/>
    </row>
    <row r="41" spans="1:26" s="2" customFormat="1" ht="24" customHeight="1" x14ac:dyDescent="0.2">
      <c r="A41" s="117">
        <v>1670</v>
      </c>
      <c r="B41" s="77" t="s">
        <v>86</v>
      </c>
      <c r="C41" s="155" t="s">
        <v>209</v>
      </c>
      <c r="D41" s="75">
        <v>12860563385.709999</v>
      </c>
      <c r="E41" s="188">
        <v>11867362443.6</v>
      </c>
      <c r="F41" s="75">
        <f t="shared" si="19"/>
        <v>993200942.1099987</v>
      </c>
      <c r="G41" s="127">
        <f t="shared" si="20"/>
        <v>8.3691801512780647E-2</v>
      </c>
      <c r="H41" s="42"/>
      <c r="I41" s="41"/>
      <c r="J41" s="44"/>
      <c r="K41" s="181"/>
      <c r="L41" s="181"/>
      <c r="M41" s="181"/>
      <c r="N41" s="182"/>
      <c r="P41" s="11">
        <f>+D33/$D$32*100</f>
        <v>80.854432573660645</v>
      </c>
      <c r="R41" s="11"/>
      <c r="S41" s="11"/>
    </row>
    <row r="42" spans="1:26" s="2" customFormat="1" ht="24" customHeight="1" x14ac:dyDescent="0.2">
      <c r="A42" s="117">
        <v>1675</v>
      </c>
      <c r="B42" s="77" t="s">
        <v>87</v>
      </c>
      <c r="C42" s="155" t="s">
        <v>209</v>
      </c>
      <c r="D42" s="75">
        <v>1929741121</v>
      </c>
      <c r="E42" s="188">
        <v>1929741121</v>
      </c>
      <c r="F42" s="75">
        <f t="shared" si="19"/>
        <v>0</v>
      </c>
      <c r="G42" s="127">
        <f t="shared" si="20"/>
        <v>0</v>
      </c>
      <c r="H42" s="42"/>
      <c r="I42" s="41"/>
      <c r="J42" s="44"/>
      <c r="K42" s="76"/>
      <c r="L42" s="76"/>
      <c r="M42" s="76"/>
      <c r="N42" s="112"/>
      <c r="P42" s="11"/>
      <c r="R42" s="11"/>
      <c r="S42" s="11"/>
    </row>
    <row r="43" spans="1:26" s="2" customFormat="1" ht="21.95" customHeight="1" x14ac:dyDescent="0.2">
      <c r="A43" s="117">
        <v>1680</v>
      </c>
      <c r="B43" s="77" t="s">
        <v>88</v>
      </c>
      <c r="C43" s="155" t="s">
        <v>209</v>
      </c>
      <c r="D43" s="75">
        <v>612550491.19000006</v>
      </c>
      <c r="E43" s="75">
        <v>405947036.25999999</v>
      </c>
      <c r="F43" s="75">
        <f t="shared" si="19"/>
        <v>206603454.93000007</v>
      </c>
      <c r="G43" s="127">
        <f t="shared" si="20"/>
        <v>0.50894189752792085</v>
      </c>
      <c r="H43" s="48"/>
      <c r="I43" s="42"/>
      <c r="J43" s="69"/>
      <c r="K43" s="183"/>
      <c r="L43" s="183"/>
      <c r="M43" s="183"/>
      <c r="N43" s="184"/>
      <c r="P43" s="29">
        <f>+D34/$D$32*100</f>
        <v>7.5178716358695413E-2</v>
      </c>
      <c r="Q43" s="11">
        <f>+D32/D54*100</f>
        <v>57.545373672410626</v>
      </c>
      <c r="R43" s="11"/>
      <c r="S43" s="11"/>
    </row>
    <row r="44" spans="1:26" s="2" customFormat="1" ht="20.25" customHeight="1" x14ac:dyDescent="0.2">
      <c r="A44" s="117">
        <v>1681</v>
      </c>
      <c r="B44" s="77" t="s">
        <v>23</v>
      </c>
      <c r="C44" s="155" t="s">
        <v>209</v>
      </c>
      <c r="D44" s="75">
        <v>1610344595.6700001</v>
      </c>
      <c r="E44" s="188">
        <v>1452915493.6700001</v>
      </c>
      <c r="F44" s="75">
        <f t="shared" si="19"/>
        <v>157429102</v>
      </c>
      <c r="G44" s="127">
        <f>+F44/E44</f>
        <v>0.10835392883197981</v>
      </c>
      <c r="H44" s="42"/>
      <c r="I44" s="186" t="s">
        <v>15</v>
      </c>
      <c r="J44" s="44"/>
      <c r="K44" s="128">
        <f>+K47</f>
        <v>552397775515.02002</v>
      </c>
      <c r="L44" s="128">
        <f>+L47</f>
        <v>473586375751.25995</v>
      </c>
      <c r="M44" s="128">
        <f>+M47</f>
        <v>78811399763.76004</v>
      </c>
      <c r="N44" s="130">
        <f>+M44/L44</f>
        <v>0.16641399288300868</v>
      </c>
      <c r="R44" s="11"/>
      <c r="S44" s="11"/>
    </row>
    <row r="45" spans="1:26" s="2" customFormat="1" ht="26.25" customHeight="1" x14ac:dyDescent="0.2">
      <c r="A45" s="110">
        <v>1685</v>
      </c>
      <c r="B45" s="77" t="s">
        <v>89</v>
      </c>
      <c r="C45" s="69" t="s">
        <v>210</v>
      </c>
      <c r="D45" s="75">
        <v>-19369777594.169998</v>
      </c>
      <c r="E45" s="188">
        <v>-16735131399.65</v>
      </c>
      <c r="F45" s="75">
        <f t="shared" ref="F45:F46" si="22">+D45-E45</f>
        <v>-2634646194.5199986</v>
      </c>
      <c r="G45" s="127">
        <f>+F45/E45</f>
        <v>0.15743205903809634</v>
      </c>
      <c r="H45" s="48"/>
      <c r="I45" s="42"/>
      <c r="J45" s="69"/>
      <c r="K45" s="76"/>
      <c r="L45" s="76"/>
      <c r="M45" s="76"/>
      <c r="N45" s="118"/>
      <c r="P45" s="11"/>
      <c r="R45" s="11"/>
      <c r="S45" s="11"/>
    </row>
    <row r="46" spans="1:26" s="2" customFormat="1" ht="26.25" customHeight="1" x14ac:dyDescent="0.2">
      <c r="A46" s="110">
        <v>1695</v>
      </c>
      <c r="B46" s="77" t="s">
        <v>260</v>
      </c>
      <c r="C46" s="69"/>
      <c r="D46" s="75">
        <v>-249733128.78</v>
      </c>
      <c r="E46" s="188">
        <v>0</v>
      </c>
      <c r="F46" s="75">
        <f t="shared" si="22"/>
        <v>-249733128.78</v>
      </c>
      <c r="G46" s="185" t="s">
        <v>6</v>
      </c>
      <c r="H46" s="48"/>
      <c r="I46" s="42"/>
      <c r="J46" s="69"/>
      <c r="K46" s="76"/>
      <c r="L46" s="76"/>
      <c r="M46" s="76"/>
      <c r="N46" s="118"/>
      <c r="P46" s="11"/>
      <c r="R46" s="11"/>
      <c r="S46" s="11"/>
    </row>
    <row r="47" spans="1:26" s="2" customFormat="1" ht="33.75" x14ac:dyDescent="0.2">
      <c r="A47" s="115">
        <v>17</v>
      </c>
      <c r="B47" s="141" t="s">
        <v>21</v>
      </c>
      <c r="C47" s="44">
        <v>11</v>
      </c>
      <c r="D47" s="76">
        <f>+D48</f>
        <v>46206747.32</v>
      </c>
      <c r="E47" s="76">
        <f>+E48</f>
        <v>46206747.32</v>
      </c>
      <c r="F47" s="76">
        <f>+F48</f>
        <v>0</v>
      </c>
      <c r="G47" s="126">
        <f>+F47/E47</f>
        <v>0</v>
      </c>
      <c r="H47" s="46">
        <v>31</v>
      </c>
      <c r="I47" s="141" t="s">
        <v>116</v>
      </c>
      <c r="J47" s="44">
        <v>27</v>
      </c>
      <c r="K47" s="76">
        <f>SUM(K48:K51)</f>
        <v>552397775515.02002</v>
      </c>
      <c r="L47" s="76">
        <f>SUM(L48:L51)</f>
        <v>473586375751.25995</v>
      </c>
      <c r="M47" s="76">
        <f>SUM(M48:M51)</f>
        <v>78811399763.76004</v>
      </c>
      <c r="N47" s="112">
        <f t="shared" ref="N47:N49" si="23">+M47/L47</f>
        <v>0.16641399288300868</v>
      </c>
      <c r="P47" s="11">
        <f>+D36/$D$32*100</f>
        <v>7.8061277889952874E-2</v>
      </c>
      <c r="R47" s="11">
        <f>+K41/$K$38*100</f>
        <v>0</v>
      </c>
      <c r="S47" s="11"/>
    </row>
    <row r="48" spans="1:26" s="2" customFormat="1" ht="21.75" customHeight="1" x14ac:dyDescent="0.2">
      <c r="A48" s="117">
        <v>1715</v>
      </c>
      <c r="B48" s="49" t="s">
        <v>22</v>
      </c>
      <c r="C48" s="70" t="s">
        <v>211</v>
      </c>
      <c r="D48" s="75">
        <v>46206747.32</v>
      </c>
      <c r="E48" s="75">
        <v>46206747.32</v>
      </c>
      <c r="F48" s="75">
        <f>+D48-E48</f>
        <v>0</v>
      </c>
      <c r="G48" s="127">
        <f>+F48/E48</f>
        <v>0</v>
      </c>
      <c r="H48" s="47">
        <v>3105</v>
      </c>
      <c r="I48" s="77" t="s">
        <v>18</v>
      </c>
      <c r="J48" s="69" t="s">
        <v>224</v>
      </c>
      <c r="K48" s="188">
        <v>44239962579.480003</v>
      </c>
      <c r="L48" s="75">
        <v>44239962579.480003</v>
      </c>
      <c r="M48" s="75">
        <f>+K48-L48</f>
        <v>0</v>
      </c>
      <c r="N48" s="113">
        <f>+M48/L48</f>
        <v>0</v>
      </c>
      <c r="P48" s="29">
        <f>+D37/$D$32*100</f>
        <v>17.768635521731621</v>
      </c>
      <c r="R48" s="11">
        <f>+K44/$K$38*100</f>
        <v>733156.8195638191</v>
      </c>
      <c r="S48" s="11"/>
    </row>
    <row r="49" spans="1:26" s="2" customFormat="1" ht="21.95" customHeight="1" x14ac:dyDescent="0.2">
      <c r="A49" s="115">
        <v>19</v>
      </c>
      <c r="B49" s="45" t="s">
        <v>11</v>
      </c>
      <c r="C49" s="44">
        <v>16</v>
      </c>
      <c r="D49" s="76">
        <f>SUM(D50:D53)</f>
        <v>1856260086.4300001</v>
      </c>
      <c r="E49" s="76">
        <f>SUM(E50:E53)</f>
        <v>2163955889.1999998</v>
      </c>
      <c r="F49" s="76">
        <f>SUM(F50:F53)</f>
        <v>-307695802.76999986</v>
      </c>
      <c r="G49" s="126">
        <f t="shared" ref="G49:G51" si="24">+F49/E49</f>
        <v>-0.14219134701666813</v>
      </c>
      <c r="H49" s="47">
        <v>3109</v>
      </c>
      <c r="I49" s="77" t="s">
        <v>117</v>
      </c>
      <c r="J49" s="69" t="s">
        <v>225</v>
      </c>
      <c r="K49" s="188">
        <v>430211250357.5</v>
      </c>
      <c r="L49" s="75">
        <v>365596991731.48999</v>
      </c>
      <c r="M49" s="75">
        <f>+K49-L49</f>
        <v>64614258626.01001</v>
      </c>
      <c r="N49" s="113">
        <f t="shared" si="23"/>
        <v>0.17673629730921164</v>
      </c>
      <c r="P49" s="11">
        <f>+D39/$D$32*100</f>
        <v>0.75801813332569945</v>
      </c>
      <c r="R49" s="11">
        <f>+K45/$K$38*100</f>
        <v>0</v>
      </c>
      <c r="S49" s="11"/>
    </row>
    <row r="50" spans="1:26" s="2" customFormat="1" ht="24" customHeight="1" x14ac:dyDescent="0.2">
      <c r="A50" s="117">
        <v>1905</v>
      </c>
      <c r="B50" s="77" t="s">
        <v>187</v>
      </c>
      <c r="C50" s="69">
        <v>16</v>
      </c>
      <c r="D50" s="188">
        <v>110208166.59999999</v>
      </c>
      <c r="E50" s="188">
        <v>0</v>
      </c>
      <c r="F50" s="75">
        <f>+D50-E50</f>
        <v>110208166.59999999</v>
      </c>
      <c r="G50" s="185" t="s">
        <v>6</v>
      </c>
      <c r="H50" s="47">
        <v>3110</v>
      </c>
      <c r="I50" s="77" t="s">
        <v>20</v>
      </c>
      <c r="J50" s="69" t="s">
        <v>226</v>
      </c>
      <c r="K50" s="75">
        <f>+'EST RESUL DICIEMBRE 2024-2023'!D76</f>
        <v>77946562578.040024</v>
      </c>
      <c r="L50" s="75">
        <f>+'EST RESUL DICIEMBRE 2024-2023'!E76</f>
        <v>63749421440.289986</v>
      </c>
      <c r="M50" s="75">
        <f>+K50-L50</f>
        <v>14197141137.750038</v>
      </c>
      <c r="N50" s="113">
        <f>+M50/L50</f>
        <v>0.22270227426373734</v>
      </c>
      <c r="P50" s="11">
        <f>+D40/$D$32*100</f>
        <v>0.59589787218307322</v>
      </c>
      <c r="R50" s="11" t="e">
        <f>+#REF!/$K$38*100</f>
        <v>#REF!</v>
      </c>
      <c r="S50" s="11"/>
    </row>
    <row r="51" spans="1:26" s="2" customFormat="1" ht="24.75" customHeight="1" x14ac:dyDescent="0.2">
      <c r="A51" s="117">
        <v>1909</v>
      </c>
      <c r="B51" s="77" t="s">
        <v>90</v>
      </c>
      <c r="C51" s="69">
        <v>16</v>
      </c>
      <c r="D51" s="188">
        <v>1263704</v>
      </c>
      <c r="E51" s="188">
        <v>1263704</v>
      </c>
      <c r="F51" s="75">
        <f>+D51-E51</f>
        <v>0</v>
      </c>
      <c r="G51" s="127">
        <f t="shared" si="24"/>
        <v>0</v>
      </c>
      <c r="H51" s="47"/>
      <c r="I51" s="77"/>
      <c r="J51" s="69"/>
      <c r="K51" s="75"/>
      <c r="L51" s="75"/>
      <c r="M51" s="75"/>
      <c r="N51" s="113"/>
      <c r="P51" s="29">
        <f>+D41/$D$32*100</f>
        <v>3.8714953506991243</v>
      </c>
      <c r="R51" s="11"/>
      <c r="S51" s="11"/>
    </row>
    <row r="52" spans="1:26" s="2" customFormat="1" ht="22.5" customHeight="1" x14ac:dyDescent="0.2">
      <c r="A52" s="117">
        <v>1970</v>
      </c>
      <c r="B52" s="77" t="s">
        <v>91</v>
      </c>
      <c r="C52" s="69">
        <v>14</v>
      </c>
      <c r="D52" s="188">
        <v>3163011364.6700001</v>
      </c>
      <c r="E52" s="188">
        <v>3163011364.6700001</v>
      </c>
      <c r="F52" s="75">
        <f>+D52-E52</f>
        <v>0</v>
      </c>
      <c r="G52" s="127">
        <f t="shared" ref="G52:G53" si="25">+F52/E52</f>
        <v>0</v>
      </c>
      <c r="H52" s="42"/>
      <c r="I52" s="42"/>
      <c r="J52" s="69"/>
      <c r="K52" s="75"/>
      <c r="L52" s="75"/>
      <c r="M52" s="75"/>
      <c r="N52" s="118"/>
      <c r="P52" s="11">
        <f>+D42/$D$32*100</f>
        <v>0.58092196694164977</v>
      </c>
      <c r="R52" s="11"/>
      <c r="S52" s="11"/>
      <c r="Y52" s="12"/>
    </row>
    <row r="53" spans="1:26" s="2" customFormat="1" ht="24" customHeight="1" x14ac:dyDescent="0.2">
      <c r="A53" s="110">
        <v>1975</v>
      </c>
      <c r="B53" s="77" t="s">
        <v>92</v>
      </c>
      <c r="C53" s="69" t="s">
        <v>212</v>
      </c>
      <c r="D53" s="188">
        <v>-1418223148.8399999</v>
      </c>
      <c r="E53" s="188">
        <v>-1000319179.47</v>
      </c>
      <c r="F53" s="75">
        <f>+D53-E53</f>
        <v>-417903969.36999989</v>
      </c>
      <c r="G53" s="127">
        <f t="shared" si="25"/>
        <v>0.41777062556315103</v>
      </c>
      <c r="H53" s="42"/>
      <c r="I53" s="42"/>
      <c r="J53" s="69"/>
      <c r="K53" s="75"/>
      <c r="L53" s="75"/>
      <c r="M53" s="75"/>
      <c r="N53" s="118"/>
      <c r="P53" s="11">
        <f>+D43/$D$32*100</f>
        <v>0.18439988261677748</v>
      </c>
      <c r="R53" s="11"/>
      <c r="S53" s="11"/>
      <c r="Y53" s="12"/>
      <c r="Z53" s="12"/>
    </row>
    <row r="54" spans="1:26" s="2" customFormat="1" ht="27" customHeight="1" thickBot="1" x14ac:dyDescent="0.25">
      <c r="A54" s="134"/>
      <c r="B54" s="135" t="s">
        <v>24</v>
      </c>
      <c r="C54" s="136"/>
      <c r="D54" s="137">
        <f>+D9+D28</f>
        <v>577259166131.38989</v>
      </c>
      <c r="E54" s="137">
        <f>+E9+E28</f>
        <v>488601712401.16992</v>
      </c>
      <c r="F54" s="137">
        <f>+F9+F28</f>
        <v>88657453730.220016</v>
      </c>
      <c r="G54" s="138">
        <f>+F54/E54</f>
        <v>0.18145137743075934</v>
      </c>
      <c r="H54" s="139"/>
      <c r="I54" s="135" t="s">
        <v>25</v>
      </c>
      <c r="J54" s="136"/>
      <c r="K54" s="137">
        <f>+K40+K44</f>
        <v>577259166131.39001</v>
      </c>
      <c r="L54" s="137">
        <f>+L40+L44</f>
        <v>488601712401.16992</v>
      </c>
      <c r="M54" s="137">
        <f>+M40+M44</f>
        <v>88657453730.220047</v>
      </c>
      <c r="N54" s="140">
        <f>+M54/L54</f>
        <v>0.18145137743075943</v>
      </c>
      <c r="R54" s="11"/>
      <c r="S54" s="11"/>
      <c r="Y54" s="12">
        <f>+D54-K54</f>
        <v>0</v>
      </c>
      <c r="Z54" s="12">
        <f>+E54-L54</f>
        <v>0</v>
      </c>
    </row>
    <row r="55" spans="1:26" s="2" customFormat="1" ht="27" customHeight="1" x14ac:dyDescent="0.2">
      <c r="A55" s="145">
        <v>8</v>
      </c>
      <c r="B55" s="142" t="s">
        <v>26</v>
      </c>
      <c r="C55" s="143">
        <v>25</v>
      </c>
      <c r="D55" s="144">
        <f>+D56+D61</f>
        <v>0</v>
      </c>
      <c r="E55" s="144">
        <f t="shared" ref="E55:F55" si="26">+E56+E61</f>
        <v>0</v>
      </c>
      <c r="F55" s="144">
        <f t="shared" si="26"/>
        <v>0</v>
      </c>
      <c r="G55" s="167">
        <v>0</v>
      </c>
      <c r="H55" s="168">
        <v>9</v>
      </c>
      <c r="I55" s="156" t="s">
        <v>27</v>
      </c>
      <c r="J55" s="143">
        <v>25</v>
      </c>
      <c r="K55" s="144">
        <f>+K56+K60+K63</f>
        <v>0</v>
      </c>
      <c r="L55" s="144">
        <f>+L56+L60+L63</f>
        <v>0</v>
      </c>
      <c r="M55" s="144">
        <f>+M56+M60+M63</f>
        <v>0</v>
      </c>
      <c r="N55" s="146">
        <v>0</v>
      </c>
      <c r="Q55" s="11" t="e">
        <f>+#REF!/D54*100</f>
        <v>#REF!</v>
      </c>
      <c r="R55" s="11"/>
      <c r="S55" s="11"/>
    </row>
    <row r="56" spans="1:26" s="2" customFormat="1" ht="20.25" customHeight="1" x14ac:dyDescent="0.2">
      <c r="A56" s="115">
        <v>81</v>
      </c>
      <c r="B56" s="41" t="s">
        <v>107</v>
      </c>
      <c r="C56" s="44" t="s">
        <v>213</v>
      </c>
      <c r="D56" s="76">
        <f>SUM(D57:D58)</f>
        <v>1135767515</v>
      </c>
      <c r="E56" s="76">
        <f t="shared" ref="E56:F56" si="27">SUM(E57:E58)</f>
        <v>1173576848.28</v>
      </c>
      <c r="F56" s="76">
        <f t="shared" si="27"/>
        <v>-37809333.279999971</v>
      </c>
      <c r="G56" s="166">
        <f>+F56/E56</f>
        <v>-3.2217177200976242E-2</v>
      </c>
      <c r="H56" s="169">
        <v>91</v>
      </c>
      <c r="I56" s="45" t="s">
        <v>111</v>
      </c>
      <c r="J56" s="44" t="s">
        <v>227</v>
      </c>
      <c r="K56" s="76">
        <f>SUM(K57:K59)</f>
        <v>6458540902.7600002</v>
      </c>
      <c r="L56" s="76">
        <f>SUM(L57:L59)</f>
        <v>6366808088.6000004</v>
      </c>
      <c r="M56" s="76">
        <f>SUM(M57:M59)</f>
        <v>91732814.160000145</v>
      </c>
      <c r="N56" s="112">
        <f>+M56/L56</f>
        <v>1.4407975375329918E-2</v>
      </c>
      <c r="R56" s="11"/>
      <c r="S56" s="11"/>
    </row>
    <row r="57" spans="1:26" s="2" customFormat="1" ht="21.75" customHeight="1" x14ac:dyDescent="0.2">
      <c r="A57" s="114">
        <v>8120</v>
      </c>
      <c r="B57" s="77" t="s">
        <v>108</v>
      </c>
      <c r="C57" s="69" t="s">
        <v>214</v>
      </c>
      <c r="D57" s="188">
        <v>13544742</v>
      </c>
      <c r="E57" s="75">
        <v>13544742</v>
      </c>
      <c r="F57" s="75">
        <f>+D57-E57</f>
        <v>0</v>
      </c>
      <c r="G57" s="161">
        <f>+F57/E57</f>
        <v>0</v>
      </c>
      <c r="H57" s="164">
        <v>9120</v>
      </c>
      <c r="I57" s="77" t="s">
        <v>108</v>
      </c>
      <c r="J57" s="69" t="s">
        <v>228</v>
      </c>
      <c r="K57" s="188">
        <v>0</v>
      </c>
      <c r="L57" s="188">
        <v>253597450.68000001</v>
      </c>
      <c r="M57" s="75">
        <f>+K57-L57</f>
        <v>-253597450.68000001</v>
      </c>
      <c r="N57" s="113">
        <f t="shared" ref="N57:N59" si="28">+M57/L57</f>
        <v>-1</v>
      </c>
      <c r="O57" s="12"/>
      <c r="Q57" s="12"/>
      <c r="R57" s="11"/>
      <c r="S57" s="11"/>
    </row>
    <row r="58" spans="1:26" s="2" customFormat="1" ht="24" customHeight="1" x14ac:dyDescent="0.2">
      <c r="A58" s="114">
        <v>8190</v>
      </c>
      <c r="B58" s="77" t="s">
        <v>109</v>
      </c>
      <c r="C58" s="69" t="s">
        <v>214</v>
      </c>
      <c r="D58" s="188">
        <v>1122222773</v>
      </c>
      <c r="E58" s="188">
        <v>1160032106.28</v>
      </c>
      <c r="F58" s="75">
        <f>+D58-E58</f>
        <v>-37809333.279999971</v>
      </c>
      <c r="G58" s="161">
        <f>+F58/E58</f>
        <v>-3.2593350714444649E-2</v>
      </c>
      <c r="H58" s="164">
        <v>9128</v>
      </c>
      <c r="I58" s="77" t="s">
        <v>112</v>
      </c>
      <c r="J58" s="69" t="s">
        <v>228</v>
      </c>
      <c r="K58" s="188">
        <v>2530239140.7600002</v>
      </c>
      <c r="L58" s="75">
        <v>2417161743.9200001</v>
      </c>
      <c r="M58" s="75">
        <f>+K58-L58</f>
        <v>113077396.84000015</v>
      </c>
      <c r="N58" s="113">
        <f t="shared" si="28"/>
        <v>4.6781063420529893E-2</v>
      </c>
      <c r="P58" s="12">
        <f>+D54-K54</f>
        <v>0</v>
      </c>
    </row>
    <row r="59" spans="1:26" s="2" customFormat="1" ht="22.5" x14ac:dyDescent="0.2">
      <c r="A59" s="115"/>
      <c r="B59" s="91"/>
      <c r="C59" s="69"/>
      <c r="D59" s="79"/>
      <c r="E59" s="79"/>
      <c r="F59" s="79"/>
      <c r="G59" s="149"/>
      <c r="H59" s="164">
        <v>9190</v>
      </c>
      <c r="I59" s="77" t="s">
        <v>166</v>
      </c>
      <c r="J59" s="69" t="s">
        <v>228</v>
      </c>
      <c r="K59" s="188">
        <v>3928301762</v>
      </c>
      <c r="L59" s="188">
        <v>3696048894</v>
      </c>
      <c r="M59" s="75">
        <f>+K59-L59</f>
        <v>232252868</v>
      </c>
      <c r="N59" s="116">
        <f t="shared" si="28"/>
        <v>6.2838148157896095E-2</v>
      </c>
    </row>
    <row r="60" spans="1:26" s="2" customFormat="1" ht="20.25" customHeight="1" x14ac:dyDescent="0.2">
      <c r="A60" s="115"/>
      <c r="B60" s="91"/>
      <c r="C60" s="69"/>
      <c r="D60" s="79"/>
      <c r="E60" s="79"/>
      <c r="F60" s="79"/>
      <c r="G60" s="149"/>
      <c r="H60" s="169">
        <v>93</v>
      </c>
      <c r="I60" s="45" t="s">
        <v>177</v>
      </c>
      <c r="J60" s="44"/>
      <c r="K60" s="76">
        <f>SUM(K61:K62)</f>
        <v>10766326438.18</v>
      </c>
      <c r="L60" s="76">
        <f>SUM(L61:L62)</f>
        <v>228810264.18000001</v>
      </c>
      <c r="M60" s="76">
        <f>SUM(M61:M62)</f>
        <v>10537516174</v>
      </c>
      <c r="N60" s="112">
        <f>+M60/L60</f>
        <v>46.053511680360494</v>
      </c>
    </row>
    <row r="61" spans="1:26" s="2" customFormat="1" ht="21" customHeight="1" x14ac:dyDescent="0.2">
      <c r="A61" s="115">
        <v>89</v>
      </c>
      <c r="B61" s="45" t="s">
        <v>164</v>
      </c>
      <c r="C61" s="44" t="s">
        <v>213</v>
      </c>
      <c r="D61" s="76">
        <f>SUM(D62:D63)</f>
        <v>-1135767515</v>
      </c>
      <c r="E61" s="76">
        <f>SUM(E62:E63)</f>
        <v>-1173576848.28</v>
      </c>
      <c r="F61" s="76">
        <f>SUM(F62:F63)</f>
        <v>37809333.279999971</v>
      </c>
      <c r="G61" s="163">
        <f>+F61/E61</f>
        <v>-3.2217177200976242E-2</v>
      </c>
      <c r="H61" s="164">
        <v>9308</v>
      </c>
      <c r="I61" s="77" t="s">
        <v>178</v>
      </c>
      <c r="J61" s="69"/>
      <c r="K61" s="188">
        <v>297509438.18000001</v>
      </c>
      <c r="L61" s="188">
        <v>228810264.18000001</v>
      </c>
      <c r="M61" s="75">
        <f>+K61-L61</f>
        <v>68699174</v>
      </c>
      <c r="N61" s="116">
        <f t="shared" ref="N61:N65" si="29">+M61/L61</f>
        <v>0.300245158346375</v>
      </c>
    </row>
    <row r="62" spans="1:26" s="2" customFormat="1" ht="21" customHeight="1" x14ac:dyDescent="0.2">
      <c r="A62" s="114">
        <v>8905</v>
      </c>
      <c r="B62" s="77" t="s">
        <v>110</v>
      </c>
      <c r="C62" s="44"/>
      <c r="D62" s="188">
        <v>-1135767515</v>
      </c>
      <c r="E62" s="188">
        <v>-1173576848.28</v>
      </c>
      <c r="F62" s="75">
        <f>+D62-E62</f>
        <v>37809333.279999971</v>
      </c>
      <c r="G62" s="171">
        <f>+F62/E62</f>
        <v>-3.2217177200976242E-2</v>
      </c>
      <c r="H62" s="164">
        <v>9390</v>
      </c>
      <c r="I62" s="77" t="s">
        <v>259</v>
      </c>
      <c r="J62" s="69"/>
      <c r="K62" s="188">
        <v>10468817000</v>
      </c>
      <c r="L62" s="188">
        <v>0</v>
      </c>
      <c r="M62" s="75">
        <f>+K62-L62</f>
        <v>10468817000</v>
      </c>
      <c r="N62" s="116" t="s">
        <v>6</v>
      </c>
    </row>
    <row r="63" spans="1:26" s="2" customFormat="1" ht="33" customHeight="1" x14ac:dyDescent="0.2">
      <c r="A63" s="115"/>
      <c r="B63" s="45"/>
      <c r="C63" s="44"/>
      <c r="D63" s="76"/>
      <c r="E63" s="76"/>
      <c r="F63" s="76"/>
      <c r="G63" s="163"/>
      <c r="H63" s="165">
        <v>99</v>
      </c>
      <c r="I63" s="91" t="s">
        <v>163</v>
      </c>
      <c r="J63" s="44" t="s">
        <v>227</v>
      </c>
      <c r="K63" s="79">
        <f>SUM(K64:K65)</f>
        <v>-17224867340.940002</v>
      </c>
      <c r="L63" s="79">
        <f>SUM(L64:L65)</f>
        <v>-6595618352.7800007</v>
      </c>
      <c r="M63" s="79">
        <f>SUM(M64:M65)</f>
        <v>-10629248988.16</v>
      </c>
      <c r="N63" s="170">
        <f>+M63/L63</f>
        <v>1.6115621643996207</v>
      </c>
    </row>
    <row r="64" spans="1:26" s="2" customFormat="1" ht="22.5" x14ac:dyDescent="0.2">
      <c r="A64" s="114"/>
      <c r="B64" s="77"/>
      <c r="C64" s="44"/>
      <c r="D64" s="188"/>
      <c r="E64" s="188"/>
      <c r="F64" s="75"/>
      <c r="G64" s="171"/>
      <c r="H64" s="50">
        <v>9905</v>
      </c>
      <c r="I64" s="77" t="s">
        <v>168</v>
      </c>
      <c r="J64" s="44"/>
      <c r="K64" s="188">
        <v>-6458540902.7600002</v>
      </c>
      <c r="L64" s="188">
        <v>-6366808088.6000004</v>
      </c>
      <c r="M64" s="75">
        <f>+K64-L64</f>
        <v>-91732814.159999847</v>
      </c>
      <c r="N64" s="116">
        <f t="shared" si="29"/>
        <v>1.4407975375329871E-2</v>
      </c>
      <c r="V64" s="82"/>
    </row>
    <row r="65" spans="1:22" s="2" customFormat="1" ht="22.5" x14ac:dyDescent="0.2">
      <c r="A65" s="114"/>
      <c r="B65" s="77"/>
      <c r="C65" s="69"/>
      <c r="D65" s="80"/>
      <c r="E65" s="80"/>
      <c r="F65" s="75"/>
      <c r="G65" s="172"/>
      <c r="H65" s="50">
        <v>9915</v>
      </c>
      <c r="I65" s="77" t="s">
        <v>171</v>
      </c>
      <c r="J65" s="69"/>
      <c r="K65" s="188">
        <v>-10766326438.18</v>
      </c>
      <c r="L65" s="188">
        <v>-228810264.18000001</v>
      </c>
      <c r="M65" s="75">
        <f>+K65-L65</f>
        <v>-10537516174</v>
      </c>
      <c r="N65" s="116">
        <f t="shared" si="29"/>
        <v>46.053511680360494</v>
      </c>
      <c r="U65" s="82"/>
      <c r="V65" s="82"/>
    </row>
    <row r="66" spans="1:22" ht="9" customHeight="1" x14ac:dyDescent="0.2">
      <c r="A66" s="114"/>
      <c r="B66" s="77"/>
      <c r="C66" s="69"/>
      <c r="D66" s="80"/>
      <c r="E66" s="80"/>
      <c r="F66" s="75"/>
      <c r="G66" s="162"/>
      <c r="H66" s="50"/>
      <c r="I66" s="77"/>
      <c r="J66" s="69"/>
      <c r="K66" s="80"/>
      <c r="L66" s="80"/>
      <c r="M66" s="75"/>
      <c r="N66" s="116"/>
      <c r="O66" s="2"/>
      <c r="P66" s="2"/>
      <c r="Q66" s="2"/>
      <c r="R66" s="2"/>
      <c r="S66" s="2"/>
      <c r="T66" s="2"/>
    </row>
    <row r="67" spans="1:22" ht="42.75" customHeight="1" thickBot="1" x14ac:dyDescent="0.25">
      <c r="A67" s="251" t="s">
        <v>255</v>
      </c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3"/>
      <c r="O67" s="2"/>
      <c r="P67" s="2"/>
      <c r="Q67" s="2"/>
      <c r="R67" s="2"/>
      <c r="S67" s="2"/>
      <c r="T67" s="2"/>
    </row>
    <row r="68" spans="1:22" ht="24" customHeight="1" x14ac:dyDescent="0.2">
      <c r="A68" s="104"/>
      <c r="B68" s="6"/>
      <c r="C68" s="71"/>
      <c r="D68" s="22"/>
      <c r="E68" s="5"/>
      <c r="F68" s="5"/>
      <c r="G68" s="5"/>
      <c r="H68" s="6"/>
      <c r="I68" s="22"/>
      <c r="J68" s="73"/>
      <c r="K68" s="22"/>
      <c r="L68" s="5"/>
      <c r="M68" s="5"/>
      <c r="N68" s="254"/>
    </row>
  </sheetData>
  <mergeCells count="16">
    <mergeCell ref="P6:Q6"/>
    <mergeCell ref="R6:S6"/>
    <mergeCell ref="A67:N67"/>
    <mergeCell ref="A1:N1"/>
    <mergeCell ref="A4:N4"/>
    <mergeCell ref="A5:N5"/>
    <mergeCell ref="A6:A7"/>
    <mergeCell ref="B6:B7"/>
    <mergeCell ref="G6:G7"/>
    <mergeCell ref="H6:H7"/>
    <mergeCell ref="I6:I7"/>
    <mergeCell ref="N6:N7"/>
    <mergeCell ref="A3:N3"/>
    <mergeCell ref="A2:N2"/>
    <mergeCell ref="C6:C7"/>
    <mergeCell ref="J6:J7"/>
  </mergeCells>
  <printOptions horizontalCentered="1"/>
  <pageMargins left="0.15748031496062992" right="0" top="0.39370078740157483" bottom="0.39370078740157483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8"/>
  <sheetViews>
    <sheetView zoomScale="95" zoomScaleNormal="95" workbookViewId="0">
      <selection activeCell="E83" sqref="E83"/>
    </sheetView>
  </sheetViews>
  <sheetFormatPr baseColWidth="10" defaultColWidth="11.42578125" defaultRowHeight="12.75" x14ac:dyDescent="0.2"/>
  <cols>
    <col min="1" max="1" width="8.7109375" style="8" bestFit="1" customWidth="1"/>
    <col min="2" max="2" width="45.42578125" style="3" customWidth="1"/>
    <col min="3" max="3" width="7.7109375" style="8" customWidth="1"/>
    <col min="4" max="4" width="31.7109375" style="17" customWidth="1"/>
    <col min="5" max="5" width="31.7109375" style="3" customWidth="1"/>
    <col min="6" max="6" width="16.140625" style="9" hidden="1" customWidth="1"/>
    <col min="7" max="7" width="10.28515625" style="8" customWidth="1"/>
    <col min="8" max="8" width="25.140625" style="24" hidden="1" customWidth="1"/>
    <col min="9" max="9" width="16.42578125" style="3" hidden="1" customWidth="1"/>
    <col min="10" max="10" width="17.85546875" style="3" hidden="1" customWidth="1"/>
    <col min="11" max="11" width="16.140625" style="3" hidden="1" customWidth="1"/>
    <col min="12" max="12" width="13.85546875" style="3" hidden="1" customWidth="1"/>
    <col min="13" max="14" width="13.7109375" style="3" hidden="1" customWidth="1"/>
    <col min="15" max="15" width="11.42578125" style="3" hidden="1" customWidth="1"/>
    <col min="16" max="16" width="16.7109375" style="3" hidden="1" customWidth="1"/>
    <col min="17" max="18" width="11.42578125" style="3" hidden="1" customWidth="1"/>
    <col min="19" max="19" width="0" style="3" hidden="1" customWidth="1"/>
    <col min="20" max="20" width="7" style="3" hidden="1" customWidth="1"/>
    <col min="21" max="16384" width="11.42578125" style="3"/>
  </cols>
  <sheetData>
    <row r="1" spans="1:16" ht="15.75" customHeight="1" x14ac:dyDescent="0.25">
      <c r="A1" s="212" t="s">
        <v>174</v>
      </c>
      <c r="B1" s="213"/>
      <c r="C1" s="213"/>
      <c r="D1" s="213"/>
      <c r="E1" s="213"/>
      <c r="F1" s="213"/>
      <c r="G1" s="214"/>
      <c r="H1" s="151"/>
      <c r="I1" s="151"/>
      <c r="J1" s="151"/>
      <c r="K1" s="151"/>
      <c r="L1" s="152"/>
    </row>
    <row r="2" spans="1:16" ht="15" customHeight="1" x14ac:dyDescent="0.25">
      <c r="A2" s="215" t="s">
        <v>167</v>
      </c>
      <c r="B2" s="216"/>
      <c r="C2" s="216"/>
      <c r="D2" s="216"/>
      <c r="E2" s="216"/>
      <c r="F2" s="216"/>
      <c r="G2" s="217"/>
      <c r="H2" s="215"/>
      <c r="I2" s="216"/>
      <c r="J2" s="216"/>
      <c r="K2" s="216"/>
      <c r="L2" s="216"/>
      <c r="M2" s="216"/>
      <c r="N2" s="217"/>
    </row>
    <row r="3" spans="1:16" ht="16.5" customHeight="1" x14ac:dyDescent="0.3">
      <c r="A3" s="215" t="s">
        <v>154</v>
      </c>
      <c r="B3" s="216"/>
      <c r="C3" s="216"/>
      <c r="D3" s="216"/>
      <c r="E3" s="216"/>
      <c r="F3" s="216"/>
      <c r="G3" s="217"/>
      <c r="H3" s="38"/>
      <c r="I3" s="38"/>
      <c r="J3" s="38"/>
      <c r="K3" s="38"/>
      <c r="L3" s="39"/>
    </row>
    <row r="4" spans="1:16" ht="15.75" customHeight="1" x14ac:dyDescent="0.25">
      <c r="A4" s="215" t="s">
        <v>256</v>
      </c>
      <c r="B4" s="216"/>
      <c r="C4" s="216"/>
      <c r="D4" s="216"/>
      <c r="E4" s="216"/>
      <c r="F4" s="216"/>
      <c r="G4" s="217"/>
      <c r="H4" s="35"/>
      <c r="I4" s="35"/>
      <c r="J4" s="35"/>
      <c r="K4" s="35"/>
      <c r="L4" s="36"/>
    </row>
    <row r="5" spans="1:16" ht="15" customHeight="1" x14ac:dyDescent="0.25">
      <c r="A5" s="247" t="s">
        <v>68</v>
      </c>
      <c r="B5" s="248"/>
      <c r="C5" s="248"/>
      <c r="D5" s="248"/>
      <c r="E5" s="248"/>
      <c r="F5" s="248"/>
      <c r="G5" s="249"/>
      <c r="H5" s="17"/>
    </row>
    <row r="6" spans="1:16" ht="0.75" customHeight="1" x14ac:dyDescent="0.2">
      <c r="A6" s="97"/>
      <c r="B6" s="88"/>
      <c r="C6" s="67"/>
      <c r="D6" s="153"/>
      <c r="E6" s="93"/>
      <c r="F6" s="93"/>
      <c r="G6" s="120"/>
      <c r="H6" s="243" t="s">
        <v>37</v>
      </c>
      <c r="I6" s="244"/>
      <c r="J6" s="244"/>
      <c r="K6" s="244"/>
    </row>
    <row r="7" spans="1:16" x14ac:dyDescent="0.2">
      <c r="A7" s="241" t="s">
        <v>0</v>
      </c>
      <c r="B7" s="242" t="s">
        <v>38</v>
      </c>
      <c r="C7" s="242" t="s">
        <v>197</v>
      </c>
      <c r="D7" s="159">
        <v>2024</v>
      </c>
      <c r="E7" s="159">
        <v>2023</v>
      </c>
      <c r="F7" s="34" t="s">
        <v>2</v>
      </c>
      <c r="G7" s="245" t="s">
        <v>151</v>
      </c>
      <c r="H7" s="60" t="s">
        <v>39</v>
      </c>
      <c r="I7" s="61" t="s">
        <v>40</v>
      </c>
      <c r="J7" s="61" t="s">
        <v>41</v>
      </c>
      <c r="K7" s="61" t="s">
        <v>42</v>
      </c>
      <c r="L7" s="27" t="s">
        <v>43</v>
      </c>
      <c r="M7" s="28" t="s">
        <v>44</v>
      </c>
    </row>
    <row r="8" spans="1:16" x14ac:dyDescent="0.2">
      <c r="A8" s="241"/>
      <c r="B8" s="242"/>
      <c r="C8" s="242"/>
      <c r="D8" s="160" t="s">
        <v>253</v>
      </c>
      <c r="E8" s="160" t="s">
        <v>253</v>
      </c>
      <c r="F8" s="34" t="s">
        <v>5</v>
      </c>
      <c r="G8" s="246"/>
      <c r="H8" s="17"/>
    </row>
    <row r="9" spans="1:16" ht="0.75" customHeight="1" x14ac:dyDescent="0.2">
      <c r="A9" s="97"/>
      <c r="B9" s="56"/>
      <c r="C9" s="153"/>
      <c r="D9" s="87"/>
      <c r="E9" s="54"/>
      <c r="F9" s="31"/>
      <c r="G9" s="98"/>
      <c r="H9" s="17"/>
    </row>
    <row r="10" spans="1:16" ht="15.75" x14ac:dyDescent="0.25">
      <c r="A10" s="97"/>
      <c r="B10" s="187" t="s">
        <v>45</v>
      </c>
      <c r="C10" s="147">
        <v>28</v>
      </c>
      <c r="D10" s="132">
        <f>+D14+D18+D20+D24+D28</f>
        <v>275092378393.5</v>
      </c>
      <c r="E10" s="132">
        <f t="shared" ref="E10:F10" si="0">+E14+E18+E20+E24+E28</f>
        <v>222543583764.17999</v>
      </c>
      <c r="F10" s="132">
        <f t="shared" si="0"/>
        <v>52548794629.32</v>
      </c>
      <c r="G10" s="133">
        <f>+F10/E10</f>
        <v>0.23612810461884057</v>
      </c>
      <c r="H10" s="86">
        <v>21801490870</v>
      </c>
      <c r="I10" s="9">
        <v>16171306615</v>
      </c>
      <c r="J10" s="17">
        <v>19159708634.290001</v>
      </c>
      <c r="K10" s="9">
        <f>+D10-H10-I10-J10</f>
        <v>217959872274.20999</v>
      </c>
      <c r="L10" s="9">
        <f>+H10+I10+J10+K10</f>
        <v>275092378393.5</v>
      </c>
      <c r="M10" s="32">
        <f>+D10/D10*100</f>
        <v>100</v>
      </c>
      <c r="P10" s="9">
        <f>+L10-D10</f>
        <v>0</v>
      </c>
    </row>
    <row r="11" spans="1:16" ht="1.5" customHeight="1" x14ac:dyDescent="0.25">
      <c r="A11" s="97"/>
      <c r="B11" s="51"/>
      <c r="C11" s="35"/>
      <c r="D11" s="13"/>
      <c r="E11" s="52"/>
      <c r="F11" s="31"/>
      <c r="G11" s="100"/>
      <c r="H11" s="17"/>
      <c r="J11" s="17"/>
      <c r="K11" s="9">
        <f t="shared" ref="K11:K39" si="1">+D11-H11-I11-J11</f>
        <v>0</v>
      </c>
      <c r="L11" s="9"/>
      <c r="P11" s="9">
        <f t="shared" ref="P11:P39" si="2">+L11-D11</f>
        <v>0</v>
      </c>
    </row>
    <row r="12" spans="1:16" ht="15" x14ac:dyDescent="0.2">
      <c r="A12" s="97"/>
      <c r="B12" s="180" t="s">
        <v>118</v>
      </c>
      <c r="C12" s="147" t="s">
        <v>229</v>
      </c>
      <c r="D12" s="180"/>
      <c r="E12" s="7"/>
      <c r="F12" s="31"/>
      <c r="G12" s="101"/>
      <c r="H12" s="86">
        <v>3524350</v>
      </c>
      <c r="I12" s="9">
        <v>7723100</v>
      </c>
      <c r="J12" s="17">
        <v>2667700</v>
      </c>
      <c r="K12" s="9">
        <f t="shared" ref="K12:K26" si="3">+D14-H12-I12-J12</f>
        <v>1226795701</v>
      </c>
      <c r="L12" s="9">
        <f t="shared" ref="L12:L52" si="4">+H12+I12+J12+K12</f>
        <v>1240710851</v>
      </c>
      <c r="M12" s="30">
        <f>+$D$14/$D$10*100</f>
        <v>0.4510160762161326</v>
      </c>
      <c r="P12" s="9">
        <f t="shared" ref="P12:P26" si="5">+L12-D14</f>
        <v>0</v>
      </c>
    </row>
    <row r="13" spans="1:16" ht="0.75" customHeight="1" x14ac:dyDescent="0.2">
      <c r="A13" s="97"/>
      <c r="B13" s="7"/>
      <c r="C13" s="67"/>
      <c r="D13" s="18"/>
      <c r="E13" s="7"/>
      <c r="F13" s="31"/>
      <c r="G13" s="101"/>
      <c r="H13" s="86">
        <v>0</v>
      </c>
      <c r="I13" s="9">
        <v>0</v>
      </c>
      <c r="J13" s="17">
        <v>0</v>
      </c>
      <c r="K13" s="9">
        <f>+D16-H13-I13-J13</f>
        <v>0</v>
      </c>
      <c r="L13" s="9">
        <f t="shared" si="4"/>
        <v>0</v>
      </c>
      <c r="P13" s="9">
        <f>+L13-D16</f>
        <v>0</v>
      </c>
    </row>
    <row r="14" spans="1:16" ht="14.25" customHeight="1" x14ac:dyDescent="0.2">
      <c r="A14" s="102">
        <v>41</v>
      </c>
      <c r="B14" s="4" t="s">
        <v>64</v>
      </c>
      <c r="C14" s="147" t="s">
        <v>230</v>
      </c>
      <c r="D14" s="52">
        <f>SUM(D15:D16)</f>
        <v>1240710851</v>
      </c>
      <c r="E14" s="52">
        <f>SUM(E15:E16)</f>
        <v>3033008144</v>
      </c>
      <c r="F14" s="52">
        <f>SUM(F15:F16)</f>
        <v>-1792297293</v>
      </c>
      <c r="G14" s="99">
        <f>+F14/E14</f>
        <v>-0.59093059032682904</v>
      </c>
      <c r="H14" s="86">
        <v>5518300</v>
      </c>
      <c r="I14" s="9">
        <v>11831900</v>
      </c>
      <c r="J14" s="17">
        <v>4208100</v>
      </c>
      <c r="K14" s="9">
        <f>+D17-H14-I14-J14</f>
        <v>-21558300</v>
      </c>
      <c r="L14" s="9">
        <f t="shared" si="4"/>
        <v>0</v>
      </c>
      <c r="P14" s="9">
        <f>+L14-D17</f>
        <v>0</v>
      </c>
    </row>
    <row r="15" spans="1:16" ht="17.25" customHeight="1" x14ac:dyDescent="0.2">
      <c r="A15" s="97">
        <v>4105</v>
      </c>
      <c r="B15" s="59" t="s">
        <v>169</v>
      </c>
      <c r="C15" s="147"/>
      <c r="D15" s="190">
        <v>1240710851</v>
      </c>
      <c r="E15" s="31">
        <v>3033008144</v>
      </c>
      <c r="F15" s="31">
        <f>+D15-E15</f>
        <v>-1792297293</v>
      </c>
      <c r="G15" s="58">
        <f>+F15/E15</f>
        <v>-0.59093059032682904</v>
      </c>
      <c r="H15" s="86"/>
      <c r="I15" s="9"/>
      <c r="J15" s="17"/>
      <c r="K15" s="9"/>
      <c r="L15" s="9"/>
      <c r="P15" s="9"/>
    </row>
    <row r="16" spans="1:16" ht="3.75" hidden="1" customHeight="1" x14ac:dyDescent="0.2">
      <c r="A16" s="97" t="s">
        <v>119</v>
      </c>
      <c r="B16" s="157" t="s">
        <v>120</v>
      </c>
      <c r="C16" s="96"/>
      <c r="D16" s="57">
        <v>0</v>
      </c>
      <c r="E16" s="57">
        <v>0</v>
      </c>
      <c r="F16" s="31">
        <f>+D16-E16</f>
        <v>0</v>
      </c>
      <c r="G16" s="58" t="e">
        <f>+F16/E16</f>
        <v>#DIV/0!</v>
      </c>
      <c r="H16" s="86">
        <v>-1993950</v>
      </c>
      <c r="I16" s="9">
        <v>-4108800</v>
      </c>
      <c r="J16" s="17">
        <v>-1540400</v>
      </c>
      <c r="K16" s="9">
        <f>+D18-H16-I16-J16</f>
        <v>66658782216</v>
      </c>
      <c r="L16" s="9">
        <f t="shared" si="4"/>
        <v>66651139066</v>
      </c>
      <c r="P16" s="9">
        <f>+L16-D18</f>
        <v>0</v>
      </c>
    </row>
    <row r="17" spans="1:16" ht="1.5" customHeight="1" x14ac:dyDescent="0.25">
      <c r="A17" s="97"/>
      <c r="B17" s="51"/>
      <c r="C17" s="35"/>
      <c r="D17" s="13"/>
      <c r="E17" s="52"/>
      <c r="F17" s="31"/>
      <c r="G17" s="100"/>
      <c r="H17" s="17"/>
      <c r="I17" s="9"/>
      <c r="J17" s="17"/>
      <c r="K17" s="9">
        <f>+D19-H17-I17-J17</f>
        <v>66651139066</v>
      </c>
      <c r="L17" s="9"/>
      <c r="P17" s="9">
        <f>+L17-D19</f>
        <v>-66651139066</v>
      </c>
    </row>
    <row r="18" spans="1:16" ht="15.75" customHeight="1" x14ac:dyDescent="0.2">
      <c r="A18" s="102">
        <v>44</v>
      </c>
      <c r="B18" s="4" t="s">
        <v>121</v>
      </c>
      <c r="C18" s="147" t="s">
        <v>231</v>
      </c>
      <c r="D18" s="52">
        <f>SUM(D19)</f>
        <v>66651139066</v>
      </c>
      <c r="E18" s="52">
        <f>SUM(E19)</f>
        <v>168891487429</v>
      </c>
      <c r="F18" s="52">
        <f>SUM(F19)</f>
        <v>-102240348363</v>
      </c>
      <c r="G18" s="99">
        <f>+F18/E18</f>
        <v>-0.60536116958517905</v>
      </c>
      <c r="H18" s="86">
        <v>6452609021</v>
      </c>
      <c r="I18" s="9">
        <v>2303483948</v>
      </c>
      <c r="J18" s="17">
        <v>7506641724.2900009</v>
      </c>
      <c r="K18" s="9">
        <f>+D22-H18-I18-J18</f>
        <v>-16262734693.290001</v>
      </c>
      <c r="L18" s="9">
        <f t="shared" si="4"/>
        <v>0</v>
      </c>
      <c r="M18" s="30">
        <f>+$D$22/$D$10*100</f>
        <v>0</v>
      </c>
      <c r="P18" s="9">
        <f>+L18-D22</f>
        <v>0</v>
      </c>
    </row>
    <row r="19" spans="1:16" ht="15.75" customHeight="1" x14ac:dyDescent="0.2">
      <c r="A19" s="103" t="s">
        <v>122</v>
      </c>
      <c r="B19" s="6" t="s">
        <v>50</v>
      </c>
      <c r="C19" s="96"/>
      <c r="D19" s="190">
        <f>59320993825+7330145241</f>
        <v>66651139066</v>
      </c>
      <c r="E19" s="190">
        <v>168891487429</v>
      </c>
      <c r="F19" s="31">
        <f>+D19-E19</f>
        <v>-102240348363</v>
      </c>
      <c r="G19" s="58">
        <f>+F19/E19</f>
        <v>-0.60536116958517905</v>
      </c>
      <c r="H19" s="86">
        <v>6446078735</v>
      </c>
      <c r="I19" s="9">
        <v>2291016743</v>
      </c>
      <c r="J19" s="17">
        <v>7497284163.2900009</v>
      </c>
      <c r="K19" s="9">
        <f>+D23-H19-I19-J19</f>
        <v>-16234379641.290001</v>
      </c>
      <c r="L19" s="9">
        <f t="shared" si="4"/>
        <v>0</v>
      </c>
      <c r="P19" s="9">
        <f>+L19-D23</f>
        <v>0</v>
      </c>
    </row>
    <row r="20" spans="1:16" ht="18" customHeight="1" x14ac:dyDescent="0.2">
      <c r="A20" s="102">
        <v>47</v>
      </c>
      <c r="B20" s="4" t="s">
        <v>185</v>
      </c>
      <c r="C20" s="147" t="s">
        <v>258</v>
      </c>
      <c r="D20" s="52">
        <f>SUM(D21)</f>
        <v>151909108719</v>
      </c>
      <c r="E20" s="52">
        <f t="shared" ref="E20:F20" si="6">SUM(E21)</f>
        <v>0</v>
      </c>
      <c r="F20" s="52">
        <f t="shared" si="6"/>
        <v>151909108719</v>
      </c>
      <c r="G20" s="99" t="s">
        <v>6</v>
      </c>
      <c r="H20" s="86"/>
      <c r="I20" s="9"/>
      <c r="J20" s="17"/>
      <c r="K20" s="9"/>
      <c r="L20" s="9"/>
      <c r="P20" s="9"/>
    </row>
    <row r="21" spans="1:16" ht="15" customHeight="1" x14ac:dyDescent="0.2">
      <c r="A21" s="97">
        <v>4705</v>
      </c>
      <c r="B21" s="7" t="s">
        <v>186</v>
      </c>
      <c r="C21" s="96"/>
      <c r="D21" s="190">
        <v>151909108719</v>
      </c>
      <c r="E21" s="31">
        <v>0</v>
      </c>
      <c r="F21" s="31">
        <f>+D21-E21</f>
        <v>151909108719</v>
      </c>
      <c r="G21" s="58" t="s">
        <v>6</v>
      </c>
      <c r="H21" s="86"/>
      <c r="I21" s="9"/>
      <c r="J21" s="17"/>
      <c r="K21" s="9"/>
      <c r="L21" s="9"/>
      <c r="P21" s="9"/>
    </row>
    <row r="22" spans="1:16" ht="0.75" customHeight="1" x14ac:dyDescent="0.2">
      <c r="A22" s="104"/>
      <c r="B22" s="78"/>
      <c r="C22" s="96"/>
      <c r="D22" s="57"/>
      <c r="E22" s="57"/>
      <c r="F22" s="31"/>
      <c r="G22" s="58"/>
      <c r="H22" s="86">
        <v>6530286</v>
      </c>
      <c r="I22" s="9">
        <v>12467205</v>
      </c>
      <c r="J22" s="17">
        <v>9357561</v>
      </c>
      <c r="K22" s="9">
        <f>+D24-H22-I22-J22</f>
        <v>55145320919.5</v>
      </c>
      <c r="L22" s="9">
        <f t="shared" si="4"/>
        <v>55173675971.5</v>
      </c>
      <c r="P22" s="9">
        <f>+L22-D24</f>
        <v>0</v>
      </c>
    </row>
    <row r="23" spans="1:16" ht="15.75" customHeight="1" x14ac:dyDescent="0.2">
      <c r="A23" s="97"/>
      <c r="B23" s="180" t="s">
        <v>123</v>
      </c>
      <c r="C23" s="147" t="s">
        <v>232</v>
      </c>
      <c r="D23" s="180"/>
      <c r="E23" s="52"/>
      <c r="F23" s="31"/>
      <c r="G23" s="100"/>
      <c r="H23" s="62"/>
      <c r="I23" s="9"/>
      <c r="J23" s="17"/>
      <c r="K23" s="9">
        <f t="shared" si="3"/>
        <v>49925065300.349998</v>
      </c>
      <c r="L23" s="9"/>
      <c r="M23" s="30">
        <f>+$D$25/$D$10*100</f>
        <v>18.148472739195906</v>
      </c>
      <c r="P23" s="9">
        <f t="shared" si="5"/>
        <v>-49925065300.349998</v>
      </c>
    </row>
    <row r="24" spans="1:16" ht="15" customHeight="1" x14ac:dyDescent="0.2">
      <c r="A24" s="102">
        <v>43</v>
      </c>
      <c r="B24" s="4" t="s">
        <v>47</v>
      </c>
      <c r="C24" s="147" t="s">
        <v>233</v>
      </c>
      <c r="D24" s="53">
        <f>SUM(D25:D27)</f>
        <v>55173675971.5</v>
      </c>
      <c r="E24" s="53">
        <f>SUM(E25:E27)</f>
        <v>50500537284.720001</v>
      </c>
      <c r="F24" s="53">
        <f t="shared" ref="F24" si="7">SUM(F25:F27)</f>
        <v>4673138686.7799988</v>
      </c>
      <c r="G24" s="99">
        <f t="shared" ref="G24" si="8">+F24/E24</f>
        <v>9.253641521540712E-2</v>
      </c>
      <c r="H24" s="86">
        <v>15345357499</v>
      </c>
      <c r="I24" s="9">
        <v>13860099567</v>
      </c>
      <c r="J24" s="17">
        <v>11650399210</v>
      </c>
      <c r="K24" s="9">
        <f t="shared" si="3"/>
        <v>-35607245604.849998</v>
      </c>
      <c r="L24" s="9">
        <f t="shared" si="4"/>
        <v>5248610671.1500015</v>
      </c>
      <c r="M24" s="30">
        <f>+$D$26/$D$10*100</f>
        <v>1.9079447790597226</v>
      </c>
      <c r="P24" s="9">
        <f t="shared" si="5"/>
        <v>0</v>
      </c>
    </row>
    <row r="25" spans="1:16" ht="16.5" customHeight="1" x14ac:dyDescent="0.2">
      <c r="A25" s="105" t="s">
        <v>124</v>
      </c>
      <c r="B25" s="7" t="s">
        <v>48</v>
      </c>
      <c r="C25" s="96" t="s">
        <v>234</v>
      </c>
      <c r="D25" s="190">
        <v>49925065300.349998</v>
      </c>
      <c r="E25" s="190">
        <v>45090694238.57</v>
      </c>
      <c r="F25" s="31">
        <f>+D25-E25</f>
        <v>4834371061.7799988</v>
      </c>
      <c r="G25" s="58">
        <f>+F25/E25</f>
        <v>0.10721438521664499</v>
      </c>
      <c r="H25" s="86">
        <v>15345357499</v>
      </c>
      <c r="I25" s="9">
        <v>13860099567</v>
      </c>
      <c r="J25" s="17">
        <v>11650399210</v>
      </c>
      <c r="K25" s="9">
        <f t="shared" si="3"/>
        <v>-40855856276</v>
      </c>
      <c r="L25" s="9">
        <f t="shared" si="4"/>
        <v>0</v>
      </c>
      <c r="P25" s="9">
        <f t="shared" si="5"/>
        <v>0</v>
      </c>
    </row>
    <row r="26" spans="1:16" ht="16.5" customHeight="1" x14ac:dyDescent="0.2">
      <c r="A26" s="105" t="s">
        <v>125</v>
      </c>
      <c r="B26" s="7" t="s">
        <v>49</v>
      </c>
      <c r="C26" s="96" t="s">
        <v>235</v>
      </c>
      <c r="D26" s="190">
        <v>5248610671.1499996</v>
      </c>
      <c r="E26" s="190">
        <f>5481541768.15-2258580</f>
        <v>5479283188.1499996</v>
      </c>
      <c r="F26" s="31">
        <f>+D26-E26</f>
        <v>-230672517</v>
      </c>
      <c r="G26" s="58">
        <f>+F26/E26</f>
        <v>-4.2099031767307366E-2</v>
      </c>
      <c r="H26" s="17"/>
      <c r="I26" s="9"/>
      <c r="J26" s="17"/>
      <c r="K26" s="9">
        <f t="shared" si="3"/>
        <v>117743786</v>
      </c>
      <c r="L26" s="9"/>
      <c r="M26" s="30">
        <f>+$D$28/$D$10*100</f>
        <v>4.2801544225836721E-2</v>
      </c>
      <c r="P26" s="9">
        <f t="shared" si="5"/>
        <v>-117743786</v>
      </c>
    </row>
    <row r="27" spans="1:16" ht="28.5" customHeight="1" x14ac:dyDescent="0.2">
      <c r="A27" s="105" t="s">
        <v>159</v>
      </c>
      <c r="B27" s="157" t="s">
        <v>126</v>
      </c>
      <c r="C27" s="67"/>
      <c r="D27" s="190">
        <v>0</v>
      </c>
      <c r="E27" s="190">
        <v>-69440142</v>
      </c>
      <c r="F27" s="31">
        <f>+D27-E27</f>
        <v>69440142</v>
      </c>
      <c r="G27" s="58">
        <f>+F27/E27</f>
        <v>-1</v>
      </c>
      <c r="H27" s="86"/>
      <c r="I27" s="9"/>
      <c r="J27" s="17"/>
      <c r="K27" s="9"/>
      <c r="L27" s="9"/>
      <c r="P27" s="9"/>
    </row>
    <row r="28" spans="1:16" ht="18" customHeight="1" x14ac:dyDescent="0.2">
      <c r="A28" s="102">
        <v>42</v>
      </c>
      <c r="B28" s="4" t="s">
        <v>127</v>
      </c>
      <c r="C28" s="147" t="s">
        <v>236</v>
      </c>
      <c r="D28" s="52">
        <f>SUM(D29:D30)</f>
        <v>117743786</v>
      </c>
      <c r="E28" s="52">
        <f>SUM(E29:E30)</f>
        <v>118550906.46000001</v>
      </c>
      <c r="F28" s="52">
        <f>SUM(F29:F30)</f>
        <v>-807120.46000000834</v>
      </c>
      <c r="G28" s="99">
        <f t="shared" ref="G28" si="9">+F28/E28</f>
        <v>-6.808218377244859E-3</v>
      </c>
      <c r="H28" s="18"/>
      <c r="I28" s="9"/>
      <c r="J28" s="17"/>
      <c r="K28" s="9">
        <f>+D29-H28-I28-J28</f>
        <v>163601118</v>
      </c>
      <c r="L28" s="9"/>
      <c r="P28" s="9">
        <f>+L28-D29</f>
        <v>-163601118</v>
      </c>
    </row>
    <row r="29" spans="1:16" ht="18.75" customHeight="1" x14ac:dyDescent="0.2">
      <c r="A29" s="105" t="s">
        <v>128</v>
      </c>
      <c r="B29" s="59" t="s">
        <v>46</v>
      </c>
      <c r="C29" s="67"/>
      <c r="D29" s="190">
        <v>163601118</v>
      </c>
      <c r="E29" s="190">
        <v>168017671.46000001</v>
      </c>
      <c r="F29" s="31">
        <f>+D29-E29</f>
        <v>-4416553.4600000083</v>
      </c>
      <c r="G29" s="58">
        <f t="shared" ref="G29:G30" si="10">+F29/E29</f>
        <v>-2.6286243712474362E-2</v>
      </c>
      <c r="H29" s="18"/>
      <c r="I29" s="9"/>
      <c r="J29" s="17"/>
      <c r="K29" s="9"/>
      <c r="L29" s="9"/>
      <c r="P29" s="9"/>
    </row>
    <row r="30" spans="1:16" ht="25.5" x14ac:dyDescent="0.2">
      <c r="A30" s="105">
        <v>4295</v>
      </c>
      <c r="B30" s="157" t="s">
        <v>170</v>
      </c>
      <c r="C30" s="176"/>
      <c r="D30" s="190">
        <v>-45857332</v>
      </c>
      <c r="E30" s="190">
        <v>-49466765</v>
      </c>
      <c r="F30" s="31">
        <f>+D30-E30</f>
        <v>3609433</v>
      </c>
      <c r="G30" s="58">
        <f t="shared" si="10"/>
        <v>-7.2966829344914719E-2</v>
      </c>
      <c r="H30" s="17"/>
      <c r="I30" s="9"/>
      <c r="J30" s="17"/>
      <c r="K30" s="9" t="e">
        <f>+#REF!-H30-I30-J30</f>
        <v>#REF!</v>
      </c>
      <c r="L30" s="9"/>
      <c r="P30" s="9" t="e">
        <f>+L30-#REF!</f>
        <v>#REF!</v>
      </c>
    </row>
    <row r="31" spans="1:16" ht="1.5" customHeight="1" x14ac:dyDescent="0.2">
      <c r="A31" s="105"/>
      <c r="B31" s="59"/>
      <c r="C31" s="67"/>
      <c r="D31" s="57"/>
      <c r="E31" s="57"/>
      <c r="F31" s="31"/>
      <c r="G31" s="58"/>
      <c r="H31" s="86">
        <v>10464180802.92</v>
      </c>
      <c r="I31" s="9">
        <v>15731513952.08</v>
      </c>
      <c r="J31" s="17">
        <v>11844660121.180002</v>
      </c>
      <c r="K31" s="9">
        <f>+D32-H31-I31-J31</f>
        <v>113809832662.33997</v>
      </c>
      <c r="L31" s="9">
        <f t="shared" si="4"/>
        <v>151850187538.51996</v>
      </c>
      <c r="M31" s="32">
        <f>+$D$32/$D$32*100</f>
        <v>100</v>
      </c>
      <c r="N31" s="64">
        <f>+$D$32+$D$39+$D$64</f>
        <v>174773535443.25</v>
      </c>
      <c r="P31" s="9">
        <f>+L31-D32</f>
        <v>0</v>
      </c>
    </row>
    <row r="32" spans="1:16" ht="20.25" customHeight="1" x14ac:dyDescent="0.25">
      <c r="A32" s="175">
        <v>6</v>
      </c>
      <c r="B32" s="187" t="s">
        <v>51</v>
      </c>
      <c r="C32" s="147">
        <v>30</v>
      </c>
      <c r="D32" s="132">
        <f>+D34+D37</f>
        <v>151850187538.51999</v>
      </c>
      <c r="E32" s="132">
        <f t="shared" ref="E32:F32" si="11">+E34+E37</f>
        <v>127581870015.79001</v>
      </c>
      <c r="F32" s="132">
        <f t="shared" si="11"/>
        <v>24268317522.729996</v>
      </c>
      <c r="G32" s="133">
        <f>+F32/E32</f>
        <v>0.19021760317297792</v>
      </c>
      <c r="H32" s="86">
        <v>642755620</v>
      </c>
      <c r="I32" s="9">
        <v>783667031</v>
      </c>
      <c r="J32" s="17">
        <v>789034192.30000019</v>
      </c>
      <c r="K32" s="9">
        <f>+D34-H32-I32-J32</f>
        <v>-2143734172.1500001</v>
      </c>
      <c r="L32" s="9">
        <f t="shared" si="4"/>
        <v>71722671.150000095</v>
      </c>
      <c r="M32" s="30">
        <f>+$D$34/$D$32*100</f>
        <v>4.7232520626163892E-2</v>
      </c>
      <c r="N32" s="30">
        <f>+$D$32/$N$31*100</f>
        <v>86.883970821673202</v>
      </c>
      <c r="P32" s="9">
        <f>+L32-D34</f>
        <v>0</v>
      </c>
    </row>
    <row r="33" spans="1:16" ht="2.25" customHeight="1" x14ac:dyDescent="0.25">
      <c r="A33" s="102"/>
      <c r="B33" s="55"/>
      <c r="C33" s="174"/>
      <c r="D33" s="52"/>
      <c r="E33" s="52"/>
      <c r="F33" s="52"/>
      <c r="G33" s="99"/>
      <c r="H33" s="86">
        <v>552422371.75999999</v>
      </c>
      <c r="I33" s="9">
        <v>1197919031.24</v>
      </c>
      <c r="J33" s="17">
        <v>807719924.30999994</v>
      </c>
      <c r="K33" s="9">
        <f>+D35-H33-I33-J33</f>
        <v>-2486338656.1599998</v>
      </c>
      <c r="L33" s="9">
        <f t="shared" si="4"/>
        <v>71722671.150000095</v>
      </c>
      <c r="M33" s="30">
        <f>+$D$35/$D$32*100</f>
        <v>4.7232520626163892E-2</v>
      </c>
      <c r="N33" s="30"/>
      <c r="P33" s="9">
        <f>+L33-D35</f>
        <v>0</v>
      </c>
    </row>
    <row r="34" spans="1:16" ht="18" customHeight="1" x14ac:dyDescent="0.2">
      <c r="A34" s="102">
        <v>62</v>
      </c>
      <c r="B34" s="4" t="s">
        <v>52</v>
      </c>
      <c r="C34" s="176"/>
      <c r="D34" s="52">
        <f>SUM(D35:D35)</f>
        <v>71722671.150000006</v>
      </c>
      <c r="E34" s="52">
        <f>SUM(E35:E35)</f>
        <v>69521893.570000008</v>
      </c>
      <c r="F34" s="52">
        <f>SUM(F35:F35)</f>
        <v>2200777.5799999982</v>
      </c>
      <c r="G34" s="99">
        <f>+F34/E34</f>
        <v>3.165589236697193E-2</v>
      </c>
      <c r="H34" s="86">
        <v>6783518446.6300001</v>
      </c>
      <c r="I34" s="9">
        <v>10091715879.369999</v>
      </c>
      <c r="J34" s="17">
        <v>7013295588.6100006</v>
      </c>
      <c r="K34" s="9">
        <f>+D36-H34-I34-J34</f>
        <v>-23888529914.610001</v>
      </c>
      <c r="L34" s="9">
        <f t="shared" si="4"/>
        <v>0</v>
      </c>
      <c r="M34" s="30">
        <f>+$D$36/$D$32*100</f>
        <v>0</v>
      </c>
      <c r="N34" s="30"/>
      <c r="P34" s="9">
        <f>+L34-D36</f>
        <v>0</v>
      </c>
    </row>
    <row r="35" spans="1:16" ht="18" customHeight="1" x14ac:dyDescent="0.2">
      <c r="A35" s="105">
        <v>6210</v>
      </c>
      <c r="B35" s="59" t="s">
        <v>46</v>
      </c>
      <c r="C35" s="96" t="s">
        <v>237</v>
      </c>
      <c r="D35" s="190">
        <v>71722671.150000006</v>
      </c>
      <c r="E35" s="190">
        <v>69521893.570000008</v>
      </c>
      <c r="F35" s="31">
        <f>+D35-E35</f>
        <v>2200777.5799999982</v>
      </c>
      <c r="G35" s="58">
        <f>+F35/E35</f>
        <v>3.165589236697193E-2</v>
      </c>
      <c r="H35" s="86">
        <v>1021178656.34</v>
      </c>
      <c r="I35" s="9">
        <v>1325904338.6599998</v>
      </c>
      <c r="J35" s="17">
        <v>1014725204.25</v>
      </c>
      <c r="K35" s="9">
        <f>+D37-H35-I35-J35</f>
        <v>148416656668.12</v>
      </c>
      <c r="L35" s="9">
        <f t="shared" si="4"/>
        <v>151778464867.37</v>
      </c>
      <c r="M35" s="30">
        <f>+$D$37/$D$32*100</f>
        <v>99.952767479373833</v>
      </c>
      <c r="N35" s="30"/>
      <c r="P35" s="9">
        <f>+L35-D37</f>
        <v>0</v>
      </c>
    </row>
    <row r="36" spans="1:16" ht="2.25" customHeight="1" x14ac:dyDescent="0.2">
      <c r="A36" s="105"/>
      <c r="B36" s="63"/>
      <c r="C36" s="68"/>
      <c r="D36" s="18"/>
      <c r="E36" s="31"/>
      <c r="F36" s="31"/>
      <c r="G36" s="58"/>
      <c r="H36" s="86">
        <v>767793728.62</v>
      </c>
      <c r="I36" s="9">
        <v>1210684351.3800001</v>
      </c>
      <c r="J36" s="17">
        <v>1150415184.9299998</v>
      </c>
      <c r="K36" s="9" t="e">
        <f>+#REF!-H36-I36-J36</f>
        <v>#REF!</v>
      </c>
      <c r="L36" s="9" t="e">
        <f t="shared" si="4"/>
        <v>#REF!</v>
      </c>
      <c r="M36" s="30" t="e">
        <f>+#REF!/$D$32*100</f>
        <v>#REF!</v>
      </c>
      <c r="N36" s="30"/>
      <c r="P36" s="9" t="e">
        <f>+L36-#REF!</f>
        <v>#REF!</v>
      </c>
    </row>
    <row r="37" spans="1:16" ht="16.5" customHeight="1" x14ac:dyDescent="0.2">
      <c r="A37" s="102">
        <v>63</v>
      </c>
      <c r="B37" s="56" t="s">
        <v>129</v>
      </c>
      <c r="C37" s="176"/>
      <c r="D37" s="53">
        <f>SUM(D38:D39)</f>
        <v>151778464867.37</v>
      </c>
      <c r="E37" s="53">
        <f>SUM(E38:E39)</f>
        <v>127512348122.22</v>
      </c>
      <c r="F37" s="53">
        <f>SUM(F38:F39)</f>
        <v>24266116745.149994</v>
      </c>
      <c r="G37" s="99">
        <f>+F37/E37</f>
        <v>0.19030405370537945</v>
      </c>
      <c r="H37" s="86">
        <v>566300307.63999999</v>
      </c>
      <c r="I37" s="9">
        <v>924675414.36000001</v>
      </c>
      <c r="J37" s="17">
        <v>869444936.21000016</v>
      </c>
      <c r="K37" s="9" t="e">
        <f>+#REF!-H37-I37-J37</f>
        <v>#REF!</v>
      </c>
      <c r="L37" s="9" t="e">
        <f t="shared" si="4"/>
        <v>#REF!</v>
      </c>
      <c r="M37" s="30" t="e">
        <f>+#REF!/$D$32*100</f>
        <v>#REF!</v>
      </c>
      <c r="N37" s="30"/>
      <c r="P37" s="9" t="e">
        <f>+L37-#REF!</f>
        <v>#REF!</v>
      </c>
    </row>
    <row r="38" spans="1:16" ht="15.75" customHeight="1" x14ac:dyDescent="0.2">
      <c r="A38" s="105">
        <v>6305</v>
      </c>
      <c r="B38" s="7" t="s">
        <v>48</v>
      </c>
      <c r="C38" s="69" t="s">
        <v>238</v>
      </c>
      <c r="D38" s="190">
        <v>151778464867.37</v>
      </c>
      <c r="E38" s="190">
        <v>127512348122.22</v>
      </c>
      <c r="F38" s="31">
        <f>+D38-E38</f>
        <v>24266116745.149994</v>
      </c>
      <c r="G38" s="58">
        <f>+F38/E38</f>
        <v>0.19030405370537945</v>
      </c>
      <c r="H38" s="17"/>
      <c r="I38" s="9"/>
      <c r="J38" s="17"/>
      <c r="K38" s="9">
        <f t="shared" si="1"/>
        <v>151778464867.37</v>
      </c>
      <c r="L38" s="9"/>
      <c r="N38" s="30"/>
      <c r="P38" s="9">
        <f t="shared" si="2"/>
        <v>-151778464867.37</v>
      </c>
    </row>
    <row r="39" spans="1:16" ht="2.25" hidden="1" customHeight="1" x14ac:dyDescent="0.2">
      <c r="A39" s="105"/>
      <c r="B39" s="7"/>
      <c r="C39" s="67"/>
      <c r="D39" s="57"/>
      <c r="E39" s="57"/>
      <c r="F39" s="31"/>
      <c r="G39" s="58"/>
      <c r="H39" s="86">
        <v>3932411064.6500001</v>
      </c>
      <c r="I39" s="9">
        <v>6353337173.3500004</v>
      </c>
      <c r="J39" s="17">
        <v>6643372948.0799999</v>
      </c>
      <c r="K39" s="9">
        <f t="shared" si="1"/>
        <v>-16929121186.08</v>
      </c>
      <c r="L39" s="9">
        <f t="shared" si="4"/>
        <v>0</v>
      </c>
      <c r="N39" s="30">
        <f>+$D$39/$N$31*100</f>
        <v>0</v>
      </c>
      <c r="P39" s="9">
        <f t="shared" si="2"/>
        <v>0</v>
      </c>
    </row>
    <row r="40" spans="1:16" ht="21.75" customHeight="1" x14ac:dyDescent="0.25">
      <c r="A40" s="175">
        <v>5</v>
      </c>
      <c r="B40" s="187" t="s">
        <v>53</v>
      </c>
      <c r="C40" s="147">
        <v>29</v>
      </c>
      <c r="D40" s="132">
        <f>+D42+D52</f>
        <v>69208761313.300003</v>
      </c>
      <c r="E40" s="132">
        <f>+E42+E52</f>
        <v>55441558344.130005</v>
      </c>
      <c r="F40" s="132">
        <f>+F42+F52</f>
        <v>13767202969.169998</v>
      </c>
      <c r="G40" s="133">
        <f>+F40/E40</f>
        <v>0.24831919196274957</v>
      </c>
      <c r="H40" s="17"/>
      <c r="I40" s="9"/>
      <c r="J40" s="17"/>
      <c r="K40" s="9" t="e">
        <f>+#REF!-H40-I40-J40</f>
        <v>#REF!</v>
      </c>
      <c r="L40" s="9"/>
      <c r="P40" s="9" t="e">
        <f>+L40-#REF!</f>
        <v>#REF!</v>
      </c>
    </row>
    <row r="41" spans="1:16" ht="0.75" customHeight="1" x14ac:dyDescent="0.25">
      <c r="A41" s="97"/>
      <c r="B41" s="51"/>
      <c r="C41" s="35"/>
      <c r="D41" s="13"/>
      <c r="E41" s="52"/>
      <c r="F41" s="31"/>
      <c r="G41" s="58"/>
      <c r="H41" s="86">
        <v>3838835701.6399999</v>
      </c>
      <c r="I41" s="9">
        <v>5932212511.3600006</v>
      </c>
      <c r="J41" s="17">
        <v>6538796787.4899998</v>
      </c>
      <c r="K41" s="9" t="e">
        <f>+#REF!-H41-I41-J41</f>
        <v>#REF!</v>
      </c>
      <c r="L41" s="9" t="e">
        <f t="shared" si="4"/>
        <v>#REF!</v>
      </c>
      <c r="M41" s="32" t="e">
        <f>+#REF!/#REF!*100</f>
        <v>#REF!</v>
      </c>
      <c r="P41" s="9" t="e">
        <f>+L41-#REF!</f>
        <v>#REF!</v>
      </c>
    </row>
    <row r="42" spans="1:16" ht="20.25" customHeight="1" x14ac:dyDescent="0.2">
      <c r="A42" s="102">
        <v>51</v>
      </c>
      <c r="B42" s="56" t="s">
        <v>54</v>
      </c>
      <c r="C42" s="147" t="s">
        <v>239</v>
      </c>
      <c r="D42" s="52">
        <f>SUM(D43:D50)</f>
        <v>66655528691.450005</v>
      </c>
      <c r="E42" s="52">
        <f>SUM(E43:E50)</f>
        <v>53466202669.570007</v>
      </c>
      <c r="F42" s="52">
        <f>SUM(F43:F50)</f>
        <v>13189326021.879997</v>
      </c>
      <c r="G42" s="99">
        <f>+F42/E42</f>
        <v>0.24668529581934626</v>
      </c>
      <c r="H42" s="86">
        <v>1621519242.53</v>
      </c>
      <c r="I42" s="9">
        <v>2245454619.4700003</v>
      </c>
      <c r="J42" s="17">
        <v>2320179046.9200001</v>
      </c>
      <c r="K42" s="9" t="e">
        <f>+#REF!-H42-I42-J42</f>
        <v>#REF!</v>
      </c>
      <c r="L42" s="9" t="e">
        <f t="shared" si="4"/>
        <v>#REF!</v>
      </c>
      <c r="M42" s="30" t="e">
        <f>+#REF!/#REF!*100</f>
        <v>#REF!</v>
      </c>
      <c r="P42" s="9" t="e">
        <f>+L42-#REF!</f>
        <v>#REF!</v>
      </c>
    </row>
    <row r="43" spans="1:16" ht="15.95" customHeight="1" x14ac:dyDescent="0.2">
      <c r="A43" s="105" t="s">
        <v>130</v>
      </c>
      <c r="B43" s="7" t="s">
        <v>131</v>
      </c>
      <c r="C43" s="96" t="s">
        <v>240</v>
      </c>
      <c r="D43" s="190">
        <v>20263986843.07</v>
      </c>
      <c r="E43" s="190">
        <v>17054881758.66</v>
      </c>
      <c r="F43" s="31">
        <f t="shared" ref="F43:F50" si="12">+D43-E43</f>
        <v>3209105084.4099998</v>
      </c>
      <c r="G43" s="58">
        <f t="shared" ref="G43:G50" si="13">+F43/E43</f>
        <v>0.1881634320203073</v>
      </c>
      <c r="H43" s="86">
        <v>6920376</v>
      </c>
      <c r="I43" s="9">
        <v>30724349</v>
      </c>
      <c r="J43" s="17">
        <v>63890050</v>
      </c>
      <c r="K43" s="9" t="e">
        <f>+#REF!-H43-I43-J43</f>
        <v>#REF!</v>
      </c>
      <c r="L43" s="9" t="e">
        <f t="shared" si="4"/>
        <v>#REF!</v>
      </c>
      <c r="M43" s="30" t="e">
        <f>+#REF!/#REF!*100</f>
        <v>#REF!</v>
      </c>
      <c r="P43" s="9" t="e">
        <f>+L43-#REF!</f>
        <v>#REF!</v>
      </c>
    </row>
    <row r="44" spans="1:16" ht="15.95" customHeight="1" x14ac:dyDescent="0.2">
      <c r="A44" s="105" t="s">
        <v>132</v>
      </c>
      <c r="B44" s="7" t="s">
        <v>55</v>
      </c>
      <c r="C44" s="96" t="s">
        <v>241</v>
      </c>
      <c r="D44" s="190">
        <v>318494215.04000002</v>
      </c>
      <c r="E44" s="190">
        <v>208369127</v>
      </c>
      <c r="F44" s="31">
        <f t="shared" si="12"/>
        <v>110125088.04000002</v>
      </c>
      <c r="G44" s="58">
        <f t="shared" si="13"/>
        <v>0.52850961956566633</v>
      </c>
      <c r="H44" s="86">
        <v>352960356</v>
      </c>
      <c r="I44" s="9">
        <v>384494656</v>
      </c>
      <c r="J44" s="17">
        <v>383013740</v>
      </c>
      <c r="K44" s="9">
        <f t="shared" ref="K44:K47" si="14">+D40-H44-I44-J44</f>
        <v>68088292561.300003</v>
      </c>
      <c r="L44" s="9">
        <f t="shared" si="4"/>
        <v>69208761313.300003</v>
      </c>
      <c r="M44" s="30" t="e">
        <f>+$D$40/#REF!*100</f>
        <v>#REF!</v>
      </c>
      <c r="P44" s="9">
        <f t="shared" ref="P44:P47" si="15">+L44-D40</f>
        <v>0</v>
      </c>
    </row>
    <row r="45" spans="1:16" ht="15.95" customHeight="1" x14ac:dyDescent="0.2">
      <c r="A45" s="105" t="s">
        <v>133</v>
      </c>
      <c r="B45" s="7" t="s">
        <v>134</v>
      </c>
      <c r="C45" s="96" t="s">
        <v>242</v>
      </c>
      <c r="D45" s="190">
        <v>5103302110</v>
      </c>
      <c r="E45" s="190">
        <v>4260519732</v>
      </c>
      <c r="F45" s="31">
        <f t="shared" si="12"/>
        <v>842782378</v>
      </c>
      <c r="G45" s="58">
        <f t="shared" si="13"/>
        <v>0.19781210533306831</v>
      </c>
      <c r="H45" s="86">
        <v>39254600</v>
      </c>
      <c r="I45" s="9">
        <v>60021800</v>
      </c>
      <c r="J45" s="17">
        <v>51807000</v>
      </c>
      <c r="K45" s="9">
        <f t="shared" si="14"/>
        <v>-151083400</v>
      </c>
      <c r="L45" s="9">
        <f t="shared" si="4"/>
        <v>0</v>
      </c>
      <c r="M45" s="30" t="e">
        <f>+$D$41/#REF!*100</f>
        <v>#REF!</v>
      </c>
      <c r="P45" s="9">
        <f t="shared" si="15"/>
        <v>0</v>
      </c>
    </row>
    <row r="46" spans="1:16" ht="15.95" customHeight="1" x14ac:dyDescent="0.2">
      <c r="A46" s="105" t="s">
        <v>135</v>
      </c>
      <c r="B46" s="7" t="s">
        <v>136</v>
      </c>
      <c r="C46" s="96" t="s">
        <v>243</v>
      </c>
      <c r="D46" s="190">
        <v>544575119</v>
      </c>
      <c r="E46" s="190">
        <v>453626450</v>
      </c>
      <c r="F46" s="31">
        <f t="shared" si="12"/>
        <v>90948669</v>
      </c>
      <c r="G46" s="58">
        <f t="shared" si="13"/>
        <v>0.20049242939868256</v>
      </c>
      <c r="H46" s="86">
        <v>1243762868.1099999</v>
      </c>
      <c r="I46" s="9">
        <v>2421688351.8900003</v>
      </c>
      <c r="J46" s="17">
        <v>3484033513.9099998</v>
      </c>
      <c r="K46" s="9">
        <f t="shared" si="14"/>
        <v>59506043957.540009</v>
      </c>
      <c r="L46" s="9">
        <f t="shared" si="4"/>
        <v>66655528691.450012</v>
      </c>
      <c r="M46" s="30" t="e">
        <f>+$D$42/#REF!*100</f>
        <v>#REF!</v>
      </c>
      <c r="P46" s="9">
        <f t="shared" si="15"/>
        <v>0</v>
      </c>
    </row>
    <row r="47" spans="1:16" ht="15" customHeight="1" x14ac:dyDescent="0.2">
      <c r="A47" s="105" t="s">
        <v>137</v>
      </c>
      <c r="B47" s="7" t="s">
        <v>138</v>
      </c>
      <c r="C47" s="96" t="s">
        <v>244</v>
      </c>
      <c r="D47" s="190">
        <v>9151741151.1200008</v>
      </c>
      <c r="E47" s="190">
        <v>7224652907.5600004</v>
      </c>
      <c r="F47" s="31">
        <f t="shared" si="12"/>
        <v>1927088243.5600004</v>
      </c>
      <c r="G47" s="58">
        <f t="shared" si="13"/>
        <v>0.26673783062207213</v>
      </c>
      <c r="H47" s="86">
        <v>574418259</v>
      </c>
      <c r="I47" s="9">
        <v>789828735</v>
      </c>
      <c r="J47" s="17">
        <v>235873436.66000009</v>
      </c>
      <c r="K47" s="9">
        <f t="shared" si="14"/>
        <v>18663866412.41</v>
      </c>
      <c r="L47" s="9">
        <f t="shared" si="4"/>
        <v>20263986843.07</v>
      </c>
      <c r="M47" s="30" t="e">
        <f>+$D$43/#REF!*100</f>
        <v>#REF!</v>
      </c>
      <c r="P47" s="9">
        <f t="shared" si="15"/>
        <v>0</v>
      </c>
    </row>
    <row r="48" spans="1:16" ht="15.75" customHeight="1" x14ac:dyDescent="0.2">
      <c r="A48" s="105">
        <v>5108</v>
      </c>
      <c r="B48" s="7" t="s">
        <v>157</v>
      </c>
      <c r="C48" s="96" t="s">
        <v>245</v>
      </c>
      <c r="D48" s="190">
        <v>81095466.480000004</v>
      </c>
      <c r="E48" s="190">
        <v>29635194.079999998</v>
      </c>
      <c r="F48" s="31">
        <f t="shared" si="12"/>
        <v>51460272.400000006</v>
      </c>
      <c r="G48" s="58">
        <f t="shared" si="13"/>
        <v>1.736458086324097</v>
      </c>
      <c r="H48" s="86"/>
      <c r="I48" s="9"/>
      <c r="J48" s="17"/>
      <c r="K48" s="9"/>
      <c r="L48" s="9"/>
      <c r="M48" s="30"/>
      <c r="P48" s="9"/>
    </row>
    <row r="49" spans="1:16" ht="15.95" customHeight="1" x14ac:dyDescent="0.2">
      <c r="A49" s="105" t="s">
        <v>139</v>
      </c>
      <c r="B49" s="7" t="s">
        <v>56</v>
      </c>
      <c r="C49" s="96" t="s">
        <v>246</v>
      </c>
      <c r="D49" s="190">
        <v>28461741907.889999</v>
      </c>
      <c r="E49" s="190">
        <v>21874081381.830002</v>
      </c>
      <c r="F49" s="31">
        <f t="shared" si="12"/>
        <v>6587660526.0599976</v>
      </c>
      <c r="G49" s="58">
        <f t="shared" si="13"/>
        <v>0.30116284250145131</v>
      </c>
      <c r="H49" s="86">
        <v>93575363.010000005</v>
      </c>
      <c r="I49" s="9">
        <v>421124661.99000001</v>
      </c>
      <c r="J49" s="17">
        <v>104576160.58999991</v>
      </c>
      <c r="K49" s="9">
        <f>+D45-H49-I49-J49</f>
        <v>4484025924.4099998</v>
      </c>
      <c r="L49" s="9">
        <f t="shared" si="4"/>
        <v>5103302110</v>
      </c>
      <c r="P49" s="9">
        <f>+L49-D45</f>
        <v>0</v>
      </c>
    </row>
    <row r="50" spans="1:16" ht="15.95" customHeight="1" x14ac:dyDescent="0.2">
      <c r="A50" s="105" t="s">
        <v>140</v>
      </c>
      <c r="B50" s="157" t="s">
        <v>57</v>
      </c>
      <c r="C50" s="96" t="s">
        <v>247</v>
      </c>
      <c r="D50" s="190">
        <v>2730591878.8499999</v>
      </c>
      <c r="E50" s="190">
        <v>2360436118.4400001</v>
      </c>
      <c r="F50" s="31">
        <f t="shared" si="12"/>
        <v>370155760.40999985</v>
      </c>
      <c r="G50" s="58">
        <f t="shared" si="13"/>
        <v>0.15681668210306571</v>
      </c>
      <c r="H50" s="17"/>
      <c r="I50" s="9"/>
      <c r="J50" s="17"/>
      <c r="K50" s="9">
        <f>+D46-H50-I50-J50</f>
        <v>544575119</v>
      </c>
      <c r="L50" s="9"/>
      <c r="P50" s="9">
        <f>+L50-D46</f>
        <v>-544575119</v>
      </c>
    </row>
    <row r="51" spans="1:16" ht="4.5" customHeight="1" x14ac:dyDescent="0.2">
      <c r="A51" s="105"/>
      <c r="B51" s="59"/>
      <c r="C51" s="67"/>
      <c r="D51" s="54"/>
      <c r="E51" s="54"/>
      <c r="F51" s="31"/>
      <c r="G51" s="58"/>
      <c r="H51" s="86">
        <v>0</v>
      </c>
      <c r="I51" s="9">
        <v>325346007</v>
      </c>
      <c r="J51" s="17">
        <v>8086827</v>
      </c>
      <c r="K51" s="9">
        <f>+D47-H51-I51-J51</f>
        <v>8818308317.1200008</v>
      </c>
      <c r="L51" s="9">
        <f t="shared" si="4"/>
        <v>9151741151.1200008</v>
      </c>
      <c r="P51" s="9">
        <f>+L51-D47</f>
        <v>0</v>
      </c>
    </row>
    <row r="52" spans="1:16" ht="27.75" customHeight="1" x14ac:dyDescent="0.2">
      <c r="A52" s="106">
        <v>53</v>
      </c>
      <c r="B52" s="158" t="s">
        <v>141</v>
      </c>
      <c r="C52" s="147" t="s">
        <v>248</v>
      </c>
      <c r="D52" s="53">
        <f>SUM(D53:D57)</f>
        <v>2553232621.8499999</v>
      </c>
      <c r="E52" s="53">
        <f>SUM(E53:E57)</f>
        <v>1975355674.5599999</v>
      </c>
      <c r="F52" s="53">
        <f>SUM(F53:F57)</f>
        <v>577876947.28999996</v>
      </c>
      <c r="G52" s="99">
        <f>+F52/E52</f>
        <v>0.29254323903907531</v>
      </c>
      <c r="H52" s="86">
        <v>93575363.010000005</v>
      </c>
      <c r="I52" s="9">
        <v>95778654.989999995</v>
      </c>
      <c r="J52" s="17">
        <v>96489333.589999989</v>
      </c>
      <c r="K52" s="9" t="e">
        <f>+#REF!-H52-I52-J52</f>
        <v>#REF!</v>
      </c>
      <c r="L52" s="9" t="e">
        <f t="shared" si="4"/>
        <v>#REF!</v>
      </c>
      <c r="P52" s="9" t="e">
        <f>+L52-#REF!</f>
        <v>#REF!</v>
      </c>
    </row>
    <row r="53" spans="1:16" ht="17.25" customHeight="1" x14ac:dyDescent="0.2">
      <c r="A53" s="105">
        <v>5347</v>
      </c>
      <c r="B53" s="157" t="s">
        <v>165</v>
      </c>
      <c r="C53" s="96"/>
      <c r="D53" s="190">
        <v>7905302</v>
      </c>
      <c r="E53" s="190">
        <v>15276413.039999999</v>
      </c>
      <c r="F53" s="31">
        <f t="shared" ref="F53:F57" si="16">+D53-E53</f>
        <v>-7371111.0399999991</v>
      </c>
      <c r="G53" s="58">
        <f t="shared" ref="G53" si="17">+F53/E53</f>
        <v>-0.48251582493215955</v>
      </c>
      <c r="H53" s="18"/>
      <c r="I53" s="9"/>
      <c r="J53" s="17"/>
      <c r="K53" s="9"/>
      <c r="L53" s="9"/>
      <c r="P53" s="9"/>
    </row>
    <row r="54" spans="1:16" ht="17.25" customHeight="1" x14ac:dyDescent="0.2">
      <c r="A54" s="105">
        <v>5351</v>
      </c>
      <c r="B54" s="59" t="s">
        <v>261</v>
      </c>
      <c r="C54" s="67"/>
      <c r="D54" s="31">
        <v>249733128.78</v>
      </c>
      <c r="E54" s="31">
        <v>0</v>
      </c>
      <c r="F54" s="31">
        <f t="shared" si="16"/>
        <v>249733128.78</v>
      </c>
      <c r="G54" s="58" t="s">
        <v>6</v>
      </c>
      <c r="H54" s="18"/>
      <c r="I54" s="9"/>
      <c r="J54" s="17"/>
      <c r="K54" s="9"/>
      <c r="L54" s="9"/>
      <c r="P54" s="9"/>
    </row>
    <row r="55" spans="1:16" ht="26.25" customHeight="1" x14ac:dyDescent="0.2">
      <c r="A55" s="105" t="s">
        <v>142</v>
      </c>
      <c r="B55" s="157" t="s">
        <v>143</v>
      </c>
      <c r="C55" s="67"/>
      <c r="D55" s="190">
        <v>1846039126.03</v>
      </c>
      <c r="E55" s="190">
        <v>1511710278.73</v>
      </c>
      <c r="F55" s="31">
        <f t="shared" si="16"/>
        <v>334328847.29999995</v>
      </c>
      <c r="G55" s="58">
        <f t="shared" ref="G55:G57" si="18">+F55/E55</f>
        <v>0.22115933985768246</v>
      </c>
      <c r="H55" s="17"/>
      <c r="I55" s="9"/>
      <c r="J55" s="17"/>
      <c r="K55" s="9">
        <f>+D51-H55-I55-J55</f>
        <v>0</v>
      </c>
      <c r="L55" s="9"/>
      <c r="P55" s="9">
        <f>+L55-D51</f>
        <v>0</v>
      </c>
    </row>
    <row r="56" spans="1:16" ht="15.95" customHeight="1" x14ac:dyDescent="0.2">
      <c r="A56" s="105" t="s">
        <v>144</v>
      </c>
      <c r="B56" s="7" t="s">
        <v>145</v>
      </c>
      <c r="C56" s="67"/>
      <c r="D56" s="190">
        <v>381805572.04000002</v>
      </c>
      <c r="E56" s="190">
        <v>427561063.79000002</v>
      </c>
      <c r="F56" s="31">
        <f>+D56-E56</f>
        <v>-45755491.75</v>
      </c>
      <c r="G56" s="58">
        <f t="shared" si="18"/>
        <v>-0.10701510409861167</v>
      </c>
      <c r="H56" s="17"/>
      <c r="I56" s="9"/>
      <c r="J56" s="17"/>
      <c r="K56" s="9"/>
      <c r="L56" s="9"/>
      <c r="P56" s="9"/>
    </row>
    <row r="57" spans="1:16" ht="15" customHeight="1" x14ac:dyDescent="0.2">
      <c r="A57" s="105">
        <v>5368</v>
      </c>
      <c r="B57" s="7" t="s">
        <v>160</v>
      </c>
      <c r="C57" s="67"/>
      <c r="D57" s="190">
        <v>67749493</v>
      </c>
      <c r="E57" s="190">
        <v>20807919</v>
      </c>
      <c r="F57" s="31">
        <f t="shared" si="16"/>
        <v>46941574</v>
      </c>
      <c r="G57" s="58">
        <f t="shared" si="18"/>
        <v>2.2559475553514026</v>
      </c>
      <c r="H57" s="86">
        <v>46018565.560000002</v>
      </c>
      <c r="I57" s="9">
        <v>45131397.439999998</v>
      </c>
      <c r="J57" s="17">
        <v>61816367.050000012</v>
      </c>
      <c r="K57" s="9">
        <f t="shared" ref="K57:K73" si="19">+D57-H57-I57-J57</f>
        <v>-85216837.050000012</v>
      </c>
      <c r="L57" s="9">
        <f>+H57+I57+J57+K57</f>
        <v>67749493</v>
      </c>
      <c r="M57" s="30" t="e">
        <f>+D57/#REF!*100</f>
        <v>#REF!</v>
      </c>
      <c r="P57" s="9">
        <f t="shared" ref="P57:P73" si="20">+L57-D57</f>
        <v>0</v>
      </c>
    </row>
    <row r="58" spans="1:16" ht="3.75" customHeight="1" x14ac:dyDescent="0.2">
      <c r="A58" s="105"/>
      <c r="B58" s="7"/>
      <c r="C58" s="67"/>
      <c r="D58" s="18"/>
      <c r="E58" s="31"/>
      <c r="F58" s="57"/>
      <c r="G58" s="58"/>
      <c r="H58" s="86"/>
      <c r="I58" s="9"/>
      <c r="J58" s="17"/>
      <c r="K58" s="9"/>
      <c r="L58" s="9"/>
      <c r="M58" s="30"/>
      <c r="P58" s="9"/>
    </row>
    <row r="59" spans="1:16" ht="15.75" x14ac:dyDescent="0.25">
      <c r="A59" s="173"/>
      <c r="B59" s="95" t="s">
        <v>152</v>
      </c>
      <c r="C59" s="176"/>
      <c r="D59" s="132">
        <f>+D10-D40-D32</f>
        <v>54033429541.680023</v>
      </c>
      <c r="E59" s="132">
        <f>+E10-E40-E32</f>
        <v>39520155404.259979</v>
      </c>
      <c r="F59" s="132">
        <f>+F10-F40-F32</f>
        <v>14513274137.420006</v>
      </c>
      <c r="G59" s="133">
        <f>+F59/E59</f>
        <v>0.36723727396718642</v>
      </c>
      <c r="H59" s="86">
        <v>0</v>
      </c>
      <c r="I59" s="9">
        <v>8924941</v>
      </c>
      <c r="J59" s="17">
        <v>1977051</v>
      </c>
      <c r="K59" s="9">
        <f t="shared" si="19"/>
        <v>54022527549.680023</v>
      </c>
      <c r="L59" s="9">
        <f>+H59+I59+J59+K59</f>
        <v>54033429541.680023</v>
      </c>
      <c r="M59" s="30" t="e">
        <f>+D59/#REF!*100</f>
        <v>#REF!</v>
      </c>
      <c r="P59" s="9">
        <f t="shared" si="20"/>
        <v>0</v>
      </c>
    </row>
    <row r="60" spans="1:16" ht="3" hidden="1" customHeight="1" x14ac:dyDescent="0.25">
      <c r="A60" s="97"/>
      <c r="B60" s="55"/>
      <c r="C60" s="174"/>
      <c r="D60" s="52"/>
      <c r="E60" s="52"/>
      <c r="F60" s="52"/>
      <c r="G60" s="99"/>
      <c r="H60" s="84"/>
      <c r="I60" s="9"/>
      <c r="J60" s="17"/>
      <c r="K60" s="9"/>
      <c r="L60" s="9"/>
      <c r="M60" s="30"/>
      <c r="P60" s="9"/>
    </row>
    <row r="61" spans="1:16" ht="19.5" customHeight="1" x14ac:dyDescent="0.25">
      <c r="A61" s="173"/>
      <c r="B61" s="187" t="s">
        <v>146</v>
      </c>
      <c r="C61" s="176"/>
      <c r="D61" s="132">
        <f>+D62</f>
        <v>24671945280.699997</v>
      </c>
      <c r="E61" s="132">
        <f t="shared" ref="E61:F61" si="21">+E62</f>
        <v>24876537227.049999</v>
      </c>
      <c r="F61" s="132">
        <f t="shared" si="21"/>
        <v>-204591946.35000038</v>
      </c>
      <c r="G61" s="133">
        <f>+F61/E61</f>
        <v>-8.2242936178244797E-3</v>
      </c>
      <c r="H61" s="84">
        <v>55257</v>
      </c>
      <c r="I61" s="9">
        <v>266075</v>
      </c>
      <c r="J61" s="17">
        <v>11398451</v>
      </c>
      <c r="K61" s="9">
        <f t="shared" si="19"/>
        <v>24660225497.699997</v>
      </c>
      <c r="L61" s="9">
        <f>+H61+I61+J61+K61</f>
        <v>24671945280.699997</v>
      </c>
      <c r="M61" s="30" t="e">
        <f>+D61/#REF!*100</f>
        <v>#REF!</v>
      </c>
      <c r="P61" s="9">
        <f t="shared" si="20"/>
        <v>0</v>
      </c>
    </row>
    <row r="62" spans="1:16" s="7" customFormat="1" ht="16.5" customHeight="1" x14ac:dyDescent="0.25">
      <c r="A62" s="102">
        <v>48</v>
      </c>
      <c r="B62" s="55" t="s">
        <v>58</v>
      </c>
      <c r="C62" s="147" t="s">
        <v>249</v>
      </c>
      <c r="D62" s="52">
        <f>+D64+D66+D67+D68</f>
        <v>24671945280.699997</v>
      </c>
      <c r="E62" s="52">
        <f>+E64+E66+E67+E68</f>
        <v>24876537227.049999</v>
      </c>
      <c r="F62" s="52">
        <f>+F64+F66+F67+F68</f>
        <v>-204591946.35000038</v>
      </c>
      <c r="G62" s="99">
        <f>+F62/E62</f>
        <v>-8.2242936178244797E-3</v>
      </c>
      <c r="H62" s="85">
        <v>-26194022.140000001</v>
      </c>
      <c r="I62" s="31">
        <v>353399941.13999999</v>
      </c>
      <c r="J62" s="18">
        <v>-339425027.56</v>
      </c>
      <c r="K62" s="31">
        <f t="shared" si="19"/>
        <v>24684164389.259998</v>
      </c>
      <c r="L62" s="31">
        <f>+H62+I62+J62+K62</f>
        <v>24671945280.699997</v>
      </c>
      <c r="M62" s="65" t="e">
        <f>+D62/#REF!*100</f>
        <v>#REF!</v>
      </c>
      <c r="P62" s="31">
        <f t="shared" si="20"/>
        <v>0</v>
      </c>
    </row>
    <row r="63" spans="1:16" ht="14.25" customHeight="1" x14ac:dyDescent="0.2">
      <c r="A63" s="102"/>
      <c r="B63" s="250" t="s">
        <v>150</v>
      </c>
      <c r="C63" s="250"/>
      <c r="D63" s="180"/>
      <c r="E63" s="52"/>
      <c r="F63" s="52"/>
      <c r="G63" s="99"/>
      <c r="H63" s="17"/>
      <c r="I63" s="9"/>
      <c r="J63" s="17"/>
      <c r="K63" s="9">
        <f t="shared" si="19"/>
        <v>0</v>
      </c>
      <c r="L63" s="9"/>
      <c r="P63" s="9">
        <f t="shared" si="20"/>
        <v>0</v>
      </c>
    </row>
    <row r="64" spans="1:16" ht="14.25" customHeight="1" x14ac:dyDescent="0.2">
      <c r="A64" s="105">
        <v>4802</v>
      </c>
      <c r="B64" s="7" t="s">
        <v>59</v>
      </c>
      <c r="C64" s="96" t="s">
        <v>250</v>
      </c>
      <c r="D64" s="190">
        <v>22923347904.73</v>
      </c>
      <c r="E64" s="190">
        <v>23023300174.75</v>
      </c>
      <c r="F64" s="31">
        <f>+D64-E64</f>
        <v>-99952270.020000458</v>
      </c>
      <c r="G64" s="58">
        <f>+F64/E64</f>
        <v>-4.3413528582500792E-3</v>
      </c>
      <c r="H64" s="86">
        <v>3132144.66</v>
      </c>
      <c r="I64" s="9">
        <v>-64640763.659999996</v>
      </c>
      <c r="J64" s="17">
        <v>-5872684.1700000018</v>
      </c>
      <c r="K64" s="9">
        <f t="shared" si="19"/>
        <v>22990729207.899998</v>
      </c>
      <c r="L64" s="9">
        <f t="shared" ref="L64:L71" si="22">+H64+I64+J64+K64</f>
        <v>22923347904.73</v>
      </c>
      <c r="M64" s="32">
        <f>+D64/$D$64*100</f>
        <v>100</v>
      </c>
      <c r="P64" s="9">
        <f t="shared" si="20"/>
        <v>0</v>
      </c>
    </row>
    <row r="65" spans="1:16" ht="16.5" customHeight="1" x14ac:dyDescent="0.2">
      <c r="A65" s="107"/>
      <c r="B65" s="250" t="s">
        <v>118</v>
      </c>
      <c r="C65" s="250"/>
      <c r="D65" s="31"/>
      <c r="E65" s="7"/>
      <c r="F65" s="7"/>
      <c r="G65" s="108"/>
      <c r="H65" s="86">
        <v>0</v>
      </c>
      <c r="I65" s="9">
        <v>0</v>
      </c>
      <c r="J65" s="17">
        <v>0</v>
      </c>
      <c r="K65" s="9">
        <f>+D66-H65-I65-J65</f>
        <v>1726369752.71</v>
      </c>
      <c r="L65" s="9">
        <f t="shared" si="22"/>
        <v>1726369752.71</v>
      </c>
      <c r="M65" s="30">
        <f>+D66/$D$64*100</f>
        <v>7.5310541893131644</v>
      </c>
      <c r="P65" s="9">
        <f>+L65-D66</f>
        <v>0</v>
      </c>
    </row>
    <row r="66" spans="1:16" ht="14.25" customHeight="1" x14ac:dyDescent="0.2">
      <c r="A66" s="105">
        <v>4808</v>
      </c>
      <c r="B66" s="7" t="s">
        <v>147</v>
      </c>
      <c r="C66" s="96" t="s">
        <v>251</v>
      </c>
      <c r="D66" s="190">
        <v>1726369752.71</v>
      </c>
      <c r="E66" s="190">
        <v>1458570183.3</v>
      </c>
      <c r="F66" s="31">
        <f>+D66-E66</f>
        <v>267799569.41000009</v>
      </c>
      <c r="G66" s="58">
        <f>+F66/E66</f>
        <v>0.1836041710410577</v>
      </c>
      <c r="H66" s="86">
        <v>0</v>
      </c>
      <c r="I66" s="9">
        <v>0</v>
      </c>
      <c r="J66" s="17">
        <v>0</v>
      </c>
      <c r="K66" s="9" t="e">
        <f>+#REF!-H66-I66-J66</f>
        <v>#REF!</v>
      </c>
      <c r="L66" s="9" t="e">
        <f t="shared" si="22"/>
        <v>#REF!</v>
      </c>
      <c r="M66" s="30" t="e">
        <f>+#REF!/$D$64*100</f>
        <v>#REF!</v>
      </c>
      <c r="P66" s="9" t="e">
        <f>+L66-#REF!</f>
        <v>#REF!</v>
      </c>
    </row>
    <row r="67" spans="1:16" ht="25.5" x14ac:dyDescent="0.2">
      <c r="A67" s="105">
        <v>4830</v>
      </c>
      <c r="B67" s="207" t="s">
        <v>162</v>
      </c>
      <c r="C67" s="67"/>
      <c r="D67" s="190">
        <v>18833119</v>
      </c>
      <c r="E67" s="190">
        <v>739589</v>
      </c>
      <c r="F67" s="31">
        <f>+D67-E67</f>
        <v>18093530</v>
      </c>
      <c r="G67" s="58">
        <f>+F67/E67</f>
        <v>24.464303822798879</v>
      </c>
      <c r="H67" s="86"/>
      <c r="I67" s="9"/>
      <c r="J67" s="17"/>
      <c r="K67" s="9"/>
      <c r="L67" s="9"/>
      <c r="M67" s="30"/>
      <c r="P67" s="9"/>
    </row>
    <row r="68" spans="1:16" ht="18" customHeight="1" x14ac:dyDescent="0.2">
      <c r="A68" s="105">
        <v>4831</v>
      </c>
      <c r="B68" s="148" t="s">
        <v>193</v>
      </c>
      <c r="C68" s="67"/>
      <c r="D68" s="190">
        <v>3394504.26</v>
      </c>
      <c r="E68" s="190">
        <v>393927280</v>
      </c>
      <c r="F68" s="31">
        <f>+D68-E68</f>
        <v>-390532775.74000001</v>
      </c>
      <c r="G68" s="58">
        <f>+F68/E68</f>
        <v>-0.99138291651190036</v>
      </c>
      <c r="H68" s="86"/>
      <c r="I68" s="9"/>
      <c r="J68" s="17"/>
      <c r="K68" s="9"/>
      <c r="L68" s="9"/>
      <c r="M68" s="30"/>
      <c r="P68" s="9"/>
    </row>
    <row r="69" spans="1:16" ht="21.75" customHeight="1" x14ac:dyDescent="0.25">
      <c r="A69" s="173"/>
      <c r="B69" s="187" t="s">
        <v>65</v>
      </c>
      <c r="C69" s="147"/>
      <c r="D69" s="132">
        <f>+D70</f>
        <v>758812244.34000003</v>
      </c>
      <c r="E69" s="132">
        <f t="shared" ref="E69:F69" si="23">+E70</f>
        <v>647271191.01999998</v>
      </c>
      <c r="F69" s="132">
        <f t="shared" si="23"/>
        <v>111541053.31999999</v>
      </c>
      <c r="G69" s="133">
        <f>+F69/E69</f>
        <v>0.172325070028574</v>
      </c>
      <c r="H69" s="86">
        <v>0</v>
      </c>
      <c r="I69" s="9">
        <v>0</v>
      </c>
      <c r="J69" s="17">
        <v>11494977.5</v>
      </c>
      <c r="K69" s="9">
        <f t="shared" si="19"/>
        <v>747317266.84000003</v>
      </c>
      <c r="L69" s="9">
        <f t="shared" si="22"/>
        <v>758812244.34000003</v>
      </c>
      <c r="M69" s="30">
        <f>+D69/$D$64*100</f>
        <v>3.3102156259794269</v>
      </c>
      <c r="P69" s="9">
        <f t="shared" si="20"/>
        <v>0</v>
      </c>
    </row>
    <row r="70" spans="1:16" ht="18" customHeight="1" x14ac:dyDescent="0.25">
      <c r="A70" s="102">
        <v>58</v>
      </c>
      <c r="B70" s="55" t="s">
        <v>60</v>
      </c>
      <c r="C70" s="147" t="s">
        <v>252</v>
      </c>
      <c r="D70" s="52">
        <f>SUM(D71:D74)</f>
        <v>758812244.34000003</v>
      </c>
      <c r="E70" s="52">
        <f>SUM(E71:E74)</f>
        <v>647271191.01999998</v>
      </c>
      <c r="F70" s="52">
        <f>SUM(F71:F74)</f>
        <v>111541053.31999999</v>
      </c>
      <c r="G70" s="99">
        <f>+F70/E70</f>
        <v>0.172325070028574</v>
      </c>
      <c r="H70" s="86">
        <v>1582.66</v>
      </c>
      <c r="I70" s="9">
        <v>4312380.34</v>
      </c>
      <c r="J70" s="17">
        <v>8893</v>
      </c>
      <c r="K70" s="9">
        <f t="shared" si="19"/>
        <v>754489388.34000003</v>
      </c>
      <c r="L70" s="9">
        <f t="shared" si="22"/>
        <v>758812244.34000003</v>
      </c>
      <c r="M70" s="30">
        <f>+D70/$D$64*100</f>
        <v>3.3102156259794269</v>
      </c>
      <c r="P70" s="9">
        <f t="shared" si="20"/>
        <v>0</v>
      </c>
    </row>
    <row r="71" spans="1:16" ht="15" customHeight="1" x14ac:dyDescent="0.2">
      <c r="A71" s="105" t="s">
        <v>148</v>
      </c>
      <c r="B71" s="7" t="s">
        <v>61</v>
      </c>
      <c r="C71" s="67"/>
      <c r="D71" s="190">
        <v>47419005.520000003</v>
      </c>
      <c r="E71" s="190">
        <v>27124704.890000001</v>
      </c>
      <c r="F71" s="31">
        <f t="shared" ref="F71:F74" si="24">+D71-E71</f>
        <v>20294300.630000003</v>
      </c>
      <c r="G71" s="58">
        <f t="shared" ref="G71:G74" si="25">+F71/E71</f>
        <v>0.74818512172944796</v>
      </c>
      <c r="H71" s="86">
        <v>3130562</v>
      </c>
      <c r="I71" s="9">
        <v>-80837813</v>
      </c>
      <c r="J71" s="17">
        <v>-17376555.010000005</v>
      </c>
      <c r="K71" s="9" t="e">
        <f>+#REF!-H71-I71-J71</f>
        <v>#REF!</v>
      </c>
      <c r="L71" s="9" t="e">
        <f t="shared" si="22"/>
        <v>#REF!</v>
      </c>
      <c r="M71" s="30" t="e">
        <f>+#REF!/$D$64*100</f>
        <v>#REF!</v>
      </c>
      <c r="P71" s="9" t="e">
        <f>+L71-#REF!</f>
        <v>#REF!</v>
      </c>
    </row>
    <row r="72" spans="1:16" x14ac:dyDescent="0.2">
      <c r="A72" s="105">
        <v>5803</v>
      </c>
      <c r="B72" s="7" t="s">
        <v>183</v>
      </c>
      <c r="C72" s="67"/>
      <c r="D72" s="190">
        <v>6610588.5</v>
      </c>
      <c r="E72" s="189">
        <v>0</v>
      </c>
      <c r="F72" s="31">
        <f t="shared" si="24"/>
        <v>6610588.5</v>
      </c>
      <c r="G72" s="58" t="s">
        <v>6</v>
      </c>
      <c r="H72" s="86"/>
      <c r="I72" s="9"/>
      <c r="J72" s="17"/>
      <c r="K72" s="9"/>
      <c r="L72" s="9"/>
      <c r="M72" s="30"/>
      <c r="P72" s="9"/>
    </row>
    <row r="73" spans="1:16" ht="14.25" customHeight="1" thickBot="1" x14ac:dyDescent="0.25">
      <c r="A73" s="105">
        <v>5890</v>
      </c>
      <c r="B73" s="59" t="s">
        <v>149</v>
      </c>
      <c r="C73" s="67"/>
      <c r="D73" s="190">
        <v>35125522.689999998</v>
      </c>
      <c r="E73" s="190">
        <v>288141538.63</v>
      </c>
      <c r="F73" s="31">
        <f t="shared" si="24"/>
        <v>-253016015.94</v>
      </c>
      <c r="G73" s="58">
        <f t="shared" si="25"/>
        <v>-0.87809628956308039</v>
      </c>
      <c r="H73" s="86">
        <v>7419840197.1899986</v>
      </c>
      <c r="I73" s="9">
        <v>-5445510432.1899986</v>
      </c>
      <c r="J73" s="17">
        <v>411886124.68999863</v>
      </c>
      <c r="K73" s="9">
        <f t="shared" si="19"/>
        <v>-2351090366.999999</v>
      </c>
      <c r="L73" s="9">
        <f>+H73+I73+J73+K73</f>
        <v>35125522.68999958</v>
      </c>
      <c r="P73" s="9">
        <f t="shared" si="20"/>
        <v>-4.1723251342773438E-7</v>
      </c>
    </row>
    <row r="74" spans="1:16" s="15" customFormat="1" ht="26.25" customHeight="1" x14ac:dyDescent="0.2">
      <c r="A74" s="105">
        <v>5895</v>
      </c>
      <c r="B74" s="157" t="s">
        <v>126</v>
      </c>
      <c r="C74" s="67"/>
      <c r="D74" s="190">
        <v>669657127.63</v>
      </c>
      <c r="E74" s="190">
        <v>332004947.5</v>
      </c>
      <c r="F74" s="31">
        <f t="shared" si="24"/>
        <v>337652180.13</v>
      </c>
      <c r="G74" s="58">
        <f t="shared" si="25"/>
        <v>1.0170094833601839</v>
      </c>
      <c r="H74" s="66"/>
    </row>
    <row r="75" spans="1:16" s="7" customFormat="1" ht="0.75" hidden="1" customHeight="1" x14ac:dyDescent="0.2">
      <c r="A75" s="97"/>
      <c r="C75" s="67"/>
      <c r="D75" s="18"/>
      <c r="E75" s="31"/>
      <c r="F75" s="31"/>
      <c r="G75" s="100"/>
      <c r="H75" s="18"/>
      <c r="I75" s="31"/>
    </row>
    <row r="76" spans="1:16" s="7" customFormat="1" ht="24" customHeight="1" x14ac:dyDescent="0.25">
      <c r="A76" s="97"/>
      <c r="B76" s="187" t="s">
        <v>153</v>
      </c>
      <c r="C76" s="176"/>
      <c r="D76" s="132">
        <f>+D59+D61-D69</f>
        <v>77946562578.040024</v>
      </c>
      <c r="E76" s="132">
        <f>+E59+E61-E69</f>
        <v>63749421440.289986</v>
      </c>
      <c r="F76" s="132">
        <f>+F59+F61-F69</f>
        <v>14197141137.750006</v>
      </c>
      <c r="G76" s="133">
        <f>+F76/E76</f>
        <v>0.22270227426373684</v>
      </c>
      <c r="H76" s="18"/>
    </row>
    <row r="77" spans="1:16" s="7" customFormat="1" ht="2.25" customHeight="1" x14ac:dyDescent="0.2">
      <c r="A77" s="97"/>
      <c r="B77" s="4"/>
      <c r="C77" s="176"/>
      <c r="D77" s="16"/>
      <c r="E77" s="89"/>
      <c r="F77" s="52"/>
      <c r="G77" s="109"/>
      <c r="H77" s="18"/>
      <c r="I77" s="177" t="s">
        <v>62</v>
      </c>
      <c r="J77" s="179" t="s">
        <v>63</v>
      </c>
    </row>
    <row r="78" spans="1:16" s="7" customFormat="1" ht="50.25" customHeight="1" thickBot="1" x14ac:dyDescent="0.25">
      <c r="A78" s="255" t="s">
        <v>257</v>
      </c>
      <c r="B78" s="256"/>
      <c r="C78" s="256"/>
      <c r="D78" s="256"/>
      <c r="E78" s="256"/>
      <c r="F78" s="256"/>
      <c r="G78" s="257"/>
      <c r="H78" s="178"/>
      <c r="I78" s="178"/>
      <c r="J78" s="23">
        <f>+I78/12</f>
        <v>0</v>
      </c>
    </row>
  </sheetData>
  <mergeCells count="14">
    <mergeCell ref="A1:G1"/>
    <mergeCell ref="A3:G3"/>
    <mergeCell ref="A4:G4"/>
    <mergeCell ref="H6:K6"/>
    <mergeCell ref="G7:G8"/>
    <mergeCell ref="A5:G5"/>
    <mergeCell ref="A78:G78"/>
    <mergeCell ref="B63:C63"/>
    <mergeCell ref="B65:C65"/>
    <mergeCell ref="A2:G2"/>
    <mergeCell ref="H2:N2"/>
    <mergeCell ref="A7:A8"/>
    <mergeCell ref="B7:B8"/>
    <mergeCell ref="C7:C8"/>
  </mergeCells>
  <printOptions horizontalCentered="1" verticalCentered="1"/>
  <pageMargins left="0.31496062992125984" right="0" top="0.19685039370078741" bottom="0.11811023622047245" header="0" footer="0"/>
  <pageSetup paperSize="9" scale="70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EA8C6-3DD2-46A1-8BBC-5B3AF9CE7B50}">
  <dimension ref="A1:AD85"/>
  <sheetViews>
    <sheetView zoomScale="95" zoomScaleNormal="95" workbookViewId="0">
      <selection activeCell="E11" sqref="E11"/>
    </sheetView>
  </sheetViews>
  <sheetFormatPr baseColWidth="10" defaultColWidth="11.42578125" defaultRowHeight="12.75" x14ac:dyDescent="0.2"/>
  <cols>
    <col min="1" max="1" width="5.140625" style="82" customWidth="1"/>
    <col min="2" max="2" width="25.42578125" style="82" customWidth="1"/>
    <col min="3" max="3" width="1.140625" style="72" customWidth="1"/>
    <col min="4" max="4" width="17.85546875" style="14" customWidth="1"/>
    <col min="5" max="5" width="18.28515625" style="14" customWidth="1"/>
    <col min="6" max="6" width="17" style="14" hidden="1" customWidth="1"/>
    <col min="7" max="7" width="10.85546875" style="14" customWidth="1"/>
    <col min="8" max="8" width="4.42578125" style="82" bestFit="1" customWidth="1"/>
    <col min="9" max="9" width="22.28515625" style="82" customWidth="1"/>
    <col min="10" max="10" width="2" style="72" customWidth="1"/>
    <col min="11" max="11" width="14.42578125" style="21" customWidth="1"/>
    <col min="12" max="12" width="14" style="14" customWidth="1"/>
    <col min="13" max="13" width="12.85546875" style="14" hidden="1" customWidth="1"/>
    <col min="14" max="14" width="7.42578125" style="82" customWidth="1"/>
    <col min="15" max="15" width="6.140625" style="82" hidden="1" customWidth="1"/>
    <col min="16" max="17" width="6.5703125" style="82" hidden="1" customWidth="1"/>
    <col min="18" max="18" width="7.85546875" style="82" hidden="1" customWidth="1"/>
    <col min="19" max="19" width="7" style="82" hidden="1" customWidth="1"/>
    <col min="20" max="22" width="11.42578125" style="82" hidden="1" customWidth="1"/>
    <col min="23" max="23" width="7.85546875" style="82" customWidth="1"/>
    <col min="24" max="24" width="4.85546875" style="82" customWidth="1"/>
    <col min="25" max="16384" width="11.42578125" style="82"/>
  </cols>
  <sheetData>
    <row r="1" spans="1:25" s="1" customFormat="1" ht="18" x14ac:dyDescent="0.25">
      <c r="A1" s="212" t="s">
        <v>174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</row>
    <row r="2" spans="1:25" s="1" customFormat="1" ht="18" x14ac:dyDescent="0.25">
      <c r="A2" s="215" t="s">
        <v>167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7"/>
    </row>
    <row r="3" spans="1:25" s="1" customFormat="1" ht="18" x14ac:dyDescent="0.25">
      <c r="A3" s="215" t="s">
        <v>173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7"/>
    </row>
    <row r="4" spans="1:25" s="1" customFormat="1" ht="18" x14ac:dyDescent="0.25">
      <c r="A4" s="215" t="s">
        <v>191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7"/>
    </row>
    <row r="5" spans="1:25" s="1" customFormat="1" ht="18" x14ac:dyDescent="0.25">
      <c r="A5" s="218" t="s">
        <v>68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20"/>
    </row>
    <row r="6" spans="1:25" s="2" customFormat="1" ht="14.25" customHeight="1" x14ac:dyDescent="0.2">
      <c r="A6" s="221" t="s">
        <v>0</v>
      </c>
      <c r="B6" s="222" t="s">
        <v>38</v>
      </c>
      <c r="C6" s="222"/>
      <c r="D6" s="94">
        <v>2024</v>
      </c>
      <c r="E6" s="94">
        <v>2024</v>
      </c>
      <c r="F6" s="44" t="s">
        <v>2</v>
      </c>
      <c r="G6" s="223" t="s">
        <v>151</v>
      </c>
      <c r="H6" s="224" t="s">
        <v>0</v>
      </c>
      <c r="I6" s="222" t="s">
        <v>38</v>
      </c>
      <c r="J6" s="222"/>
      <c r="K6" s="94">
        <v>2024</v>
      </c>
      <c r="L6" s="94">
        <v>2024</v>
      </c>
      <c r="M6" s="44" t="s">
        <v>2</v>
      </c>
      <c r="N6" s="225" t="s">
        <v>151</v>
      </c>
      <c r="P6" s="228" t="s">
        <v>1</v>
      </c>
      <c r="Q6" s="228"/>
      <c r="R6" s="228" t="s">
        <v>4</v>
      </c>
      <c r="S6" s="228"/>
    </row>
    <row r="7" spans="1:25" s="2" customFormat="1" ht="12" customHeight="1" x14ac:dyDescent="0.2">
      <c r="A7" s="221"/>
      <c r="B7" s="222"/>
      <c r="C7" s="222"/>
      <c r="D7" s="94" t="s">
        <v>182</v>
      </c>
      <c r="E7" s="94" t="s">
        <v>184</v>
      </c>
      <c r="F7" s="44" t="s">
        <v>5</v>
      </c>
      <c r="G7" s="223"/>
      <c r="H7" s="224"/>
      <c r="I7" s="222"/>
      <c r="J7" s="222"/>
      <c r="K7" s="94" t="s">
        <v>182</v>
      </c>
      <c r="L7" s="94" t="s">
        <v>184</v>
      </c>
      <c r="M7" s="44" t="s">
        <v>5</v>
      </c>
      <c r="N7" s="225"/>
    </row>
    <row r="8" spans="1:25" s="2" customFormat="1" ht="15.75" customHeight="1" x14ac:dyDescent="0.2">
      <c r="A8" s="110"/>
      <c r="B8" s="186" t="s">
        <v>1</v>
      </c>
      <c r="C8" s="44"/>
      <c r="D8" s="90"/>
      <c r="E8" s="90"/>
      <c r="F8" s="90"/>
      <c r="G8" s="125"/>
      <c r="H8" s="42"/>
      <c r="I8" s="186" t="s">
        <v>3</v>
      </c>
      <c r="J8" s="44"/>
      <c r="K8" s="20"/>
      <c r="L8" s="43"/>
      <c r="M8" s="43"/>
      <c r="N8" s="111"/>
    </row>
    <row r="9" spans="1:25" s="2" customFormat="1" ht="21.75" customHeight="1" x14ac:dyDescent="0.2">
      <c r="A9" s="110"/>
      <c r="B9" s="41" t="s">
        <v>69</v>
      </c>
      <c r="C9" s="44"/>
      <c r="D9" s="128">
        <f>+D10+D15+D21+D25</f>
        <v>232090742474.17999</v>
      </c>
      <c r="E9" s="128">
        <f>+E10+E15+E21+E25</f>
        <v>225345287896.31</v>
      </c>
      <c r="F9" s="128">
        <f>+F10+F15+F21+F25</f>
        <v>6745454577.8699913</v>
      </c>
      <c r="G9" s="129">
        <f t="shared" ref="G9:G26" si="0">+F9/E9</f>
        <v>2.9933861235091959E-2</v>
      </c>
      <c r="H9" s="42"/>
      <c r="I9" s="41" t="s">
        <v>93</v>
      </c>
      <c r="J9" s="44"/>
      <c r="K9" s="128">
        <f>+K10+K18+K21+K25</f>
        <v>18935072455.310001</v>
      </c>
      <c r="L9" s="128">
        <f>+L10+L18+L21+L25</f>
        <v>21866989952.540001</v>
      </c>
      <c r="M9" s="128">
        <f>+M10+M18+M21+M25</f>
        <v>-2931917497.2299995</v>
      </c>
      <c r="N9" s="130">
        <f>+M9/L9</f>
        <v>-0.13407961057253046</v>
      </c>
      <c r="P9" s="33">
        <f>+D9/D9*100</f>
        <v>100</v>
      </c>
      <c r="Q9" s="40">
        <f>+D9/D53*100</f>
        <v>44.358516569321473</v>
      </c>
    </row>
    <row r="10" spans="1:25" s="2" customFormat="1" ht="26.25" customHeight="1" x14ac:dyDescent="0.2">
      <c r="A10" s="115">
        <v>11</v>
      </c>
      <c r="B10" s="141" t="s">
        <v>70</v>
      </c>
      <c r="C10" s="44"/>
      <c r="D10" s="76">
        <f>SUM(D11:D13)</f>
        <v>220871319732.69</v>
      </c>
      <c r="E10" s="76">
        <f>SUM(E11:E13)</f>
        <v>208754876774.84</v>
      </c>
      <c r="F10" s="76">
        <f>SUM(F11:F13)</f>
        <v>12116442957.849991</v>
      </c>
      <c r="G10" s="126">
        <f t="shared" si="0"/>
        <v>5.8041484563345611E-2</v>
      </c>
      <c r="H10" s="46">
        <v>24</v>
      </c>
      <c r="I10" s="45" t="s">
        <v>94</v>
      </c>
      <c r="J10" s="44"/>
      <c r="K10" s="76">
        <f>SUM(K11:K17)</f>
        <v>3020941241.4100003</v>
      </c>
      <c r="L10" s="76">
        <f t="shared" ref="L10:M10" si="1">SUM(L11:L17)</f>
        <v>4846478687.2700005</v>
      </c>
      <c r="M10" s="76">
        <f t="shared" si="1"/>
        <v>-1825537445.8600001</v>
      </c>
      <c r="N10" s="112">
        <f t="shared" ref="N10:N14" si="2">+M10/L10</f>
        <v>-0.37667295445970839</v>
      </c>
    </row>
    <row r="11" spans="1:25" s="2" customFormat="1" ht="24.75" customHeight="1" x14ac:dyDescent="0.2">
      <c r="A11" s="110">
        <v>1105</v>
      </c>
      <c r="B11" s="77" t="s">
        <v>176</v>
      </c>
      <c r="C11" s="69"/>
      <c r="D11" s="188">
        <v>651207897</v>
      </c>
      <c r="E11" s="75">
        <v>651207897</v>
      </c>
      <c r="F11" s="75">
        <f>+D11-E11</f>
        <v>0</v>
      </c>
      <c r="G11" s="127">
        <f t="shared" si="0"/>
        <v>0</v>
      </c>
      <c r="H11" s="47">
        <v>2401</v>
      </c>
      <c r="I11" s="77" t="s">
        <v>95</v>
      </c>
      <c r="J11" s="69"/>
      <c r="K11" s="188">
        <v>488728785.29000002</v>
      </c>
      <c r="L11" s="75">
        <v>1779278282.22</v>
      </c>
      <c r="M11" s="75">
        <f>+K11-L11</f>
        <v>-1290549496.9300001</v>
      </c>
      <c r="N11" s="113">
        <f t="shared" si="2"/>
        <v>-0.72532189586430817</v>
      </c>
    </row>
    <row r="12" spans="1:25" s="2" customFormat="1" ht="26.25" customHeight="1" x14ac:dyDescent="0.2">
      <c r="A12" s="110">
        <v>1110</v>
      </c>
      <c r="B12" s="77" t="s">
        <v>71</v>
      </c>
      <c r="C12" s="69"/>
      <c r="D12" s="188">
        <v>220006982503.39999</v>
      </c>
      <c r="E12" s="75">
        <v>208003556970.41</v>
      </c>
      <c r="F12" s="75">
        <f>+D12-E12</f>
        <v>12003425532.98999</v>
      </c>
      <c r="G12" s="127">
        <f t="shared" si="0"/>
        <v>5.7707789750429908E-2</v>
      </c>
      <c r="H12" s="47">
        <v>2407</v>
      </c>
      <c r="I12" s="77" t="s">
        <v>96</v>
      </c>
      <c r="J12" s="69"/>
      <c r="K12" s="188">
        <v>17320125</v>
      </c>
      <c r="L12" s="75">
        <v>404185826</v>
      </c>
      <c r="M12" s="75">
        <f t="shared" ref="M12:M16" si="3">+K12-L12</f>
        <v>-386865701</v>
      </c>
      <c r="N12" s="113">
        <f t="shared" si="2"/>
        <v>-0.95714811384801013</v>
      </c>
      <c r="P12" s="11">
        <f>+D10/$D$9*100</f>
        <v>95.165932677069989</v>
      </c>
      <c r="S12" s="11">
        <f>+K10/$K$35*100</f>
        <v>646.91612413417931</v>
      </c>
    </row>
    <row r="13" spans="1:25" s="2" customFormat="1" ht="18" customHeight="1" x14ac:dyDescent="0.2">
      <c r="A13" s="110">
        <v>1133</v>
      </c>
      <c r="B13" s="42" t="s">
        <v>72</v>
      </c>
      <c r="C13" s="69"/>
      <c r="D13" s="188">
        <v>213129332.28999999</v>
      </c>
      <c r="E13" s="75">
        <v>100111907.43000001</v>
      </c>
      <c r="F13" s="75">
        <f>+D13-E13</f>
        <v>113017424.85999998</v>
      </c>
      <c r="G13" s="127">
        <f t="shared" si="0"/>
        <v>1.1289109134098134</v>
      </c>
      <c r="H13" s="47">
        <v>2424</v>
      </c>
      <c r="I13" s="77" t="s">
        <v>97</v>
      </c>
      <c r="J13" s="69"/>
      <c r="K13" s="188">
        <v>1566706939.76</v>
      </c>
      <c r="L13" s="75">
        <v>1338894532.76</v>
      </c>
      <c r="M13" s="75">
        <f t="shared" si="3"/>
        <v>227812407</v>
      </c>
      <c r="N13" s="113">
        <f t="shared" si="2"/>
        <v>0.17014962823874336</v>
      </c>
      <c r="P13" s="11">
        <f>+D18/$D$9*100</f>
        <v>2.2082742057538882E-4</v>
      </c>
      <c r="R13" s="11">
        <f>+K11/$K$10*100</f>
        <v>16.178030164594983</v>
      </c>
      <c r="S13" s="11"/>
    </row>
    <row r="14" spans="1:25" s="2" customFormat="1" ht="28.15" customHeight="1" x14ac:dyDescent="0.2">
      <c r="A14" s="115"/>
      <c r="B14" s="141"/>
      <c r="C14" s="69"/>
      <c r="D14" s="76"/>
      <c r="E14" s="76"/>
      <c r="F14" s="76"/>
      <c r="G14" s="126"/>
      <c r="H14" s="47">
        <v>2436</v>
      </c>
      <c r="I14" s="77" t="s">
        <v>98</v>
      </c>
      <c r="J14" s="69"/>
      <c r="K14" s="188">
        <v>242197314</v>
      </c>
      <c r="L14" s="75">
        <v>164854594</v>
      </c>
      <c r="M14" s="75">
        <f t="shared" si="3"/>
        <v>77342720</v>
      </c>
      <c r="N14" s="113">
        <f t="shared" si="2"/>
        <v>0.46915720164886637</v>
      </c>
      <c r="P14" s="11"/>
      <c r="R14" s="11"/>
      <c r="S14" s="11"/>
      <c r="Y14" s="12"/>
    </row>
    <row r="15" spans="1:25" s="2" customFormat="1" ht="36" customHeight="1" x14ac:dyDescent="0.2">
      <c r="A15" s="115">
        <v>13</v>
      </c>
      <c r="B15" s="45" t="s">
        <v>73</v>
      </c>
      <c r="C15" s="44"/>
      <c r="D15" s="76">
        <f>SUM(D16:D19)</f>
        <v>9449534165</v>
      </c>
      <c r="E15" s="76">
        <f>SUM(E16:E19)</f>
        <v>15664377186.129999</v>
      </c>
      <c r="F15" s="76">
        <f>SUM(F16:F19)</f>
        <v>-6214843021.1299992</v>
      </c>
      <c r="G15" s="126">
        <f t="shared" ref="G15:G18" si="4">+F15/E15</f>
        <v>-0.3967500876212891</v>
      </c>
      <c r="H15" s="47">
        <v>2440</v>
      </c>
      <c r="I15" s="77" t="s">
        <v>99</v>
      </c>
      <c r="J15" s="69"/>
      <c r="K15" s="188">
        <v>34624679</v>
      </c>
      <c r="L15" s="75">
        <v>161406680</v>
      </c>
      <c r="M15" s="75">
        <f t="shared" si="3"/>
        <v>-126782001</v>
      </c>
      <c r="N15" s="113">
        <f>+M15/L15</f>
        <v>-0.78548174709993412</v>
      </c>
      <c r="P15" s="11"/>
      <c r="R15" s="11">
        <f>+K12/$K$10*100</f>
        <v>0.57333538178703436</v>
      </c>
      <c r="S15" s="11"/>
    </row>
    <row r="16" spans="1:25" s="2" customFormat="1" ht="20.25" customHeight="1" x14ac:dyDescent="0.2">
      <c r="A16" s="114">
        <v>1316</v>
      </c>
      <c r="B16" s="77" t="s">
        <v>7</v>
      </c>
      <c r="C16" s="69"/>
      <c r="D16" s="188">
        <v>622000</v>
      </c>
      <c r="E16" s="75">
        <v>1310950</v>
      </c>
      <c r="F16" s="75">
        <f t="shared" ref="F16:F18" si="5">+D16-E16</f>
        <v>-688950</v>
      </c>
      <c r="G16" s="127">
        <f t="shared" si="4"/>
        <v>-0.52553491742629388</v>
      </c>
      <c r="H16" s="42">
        <v>2490</v>
      </c>
      <c r="I16" s="42" t="s">
        <v>100</v>
      </c>
      <c r="J16" s="69"/>
      <c r="K16" s="188">
        <v>671363398.36000001</v>
      </c>
      <c r="L16" s="75">
        <v>997858772.28999996</v>
      </c>
      <c r="M16" s="75">
        <f t="shared" si="3"/>
        <v>-326495373.92999995</v>
      </c>
      <c r="N16" s="113">
        <f t="shared" ref="N16" si="6">+M16/L16</f>
        <v>-0.32719597501830966</v>
      </c>
      <c r="P16" s="11">
        <f>+D20/$D$9*100</f>
        <v>0</v>
      </c>
      <c r="R16" s="11">
        <f>+K13/$K$10*100</f>
        <v>51.86154958210151</v>
      </c>
      <c r="S16" s="11"/>
    </row>
    <row r="17" spans="1:30" s="2" customFormat="1" ht="20.25" customHeight="1" x14ac:dyDescent="0.2">
      <c r="A17" s="117">
        <v>1317</v>
      </c>
      <c r="B17" s="77" t="s">
        <v>74</v>
      </c>
      <c r="C17" s="69"/>
      <c r="D17" s="188">
        <v>9448399645</v>
      </c>
      <c r="E17" s="75">
        <v>15650576419.9</v>
      </c>
      <c r="F17" s="75">
        <f t="shared" si="5"/>
        <v>-6202176774.8999996</v>
      </c>
      <c r="G17" s="127">
        <f t="shared" si="4"/>
        <v>-0.39629062907956641</v>
      </c>
      <c r="H17" s="42"/>
      <c r="I17" s="42"/>
      <c r="J17" s="69"/>
      <c r="K17" s="188"/>
      <c r="L17" s="188"/>
      <c r="M17" s="75"/>
      <c r="N17" s="113"/>
      <c r="P17" s="11" t="e">
        <f>+D22/$D$20*100</f>
        <v>#DIV/0!</v>
      </c>
      <c r="R17" s="11">
        <f>+K15/$K$10*100</f>
        <v>1.1461553281929842</v>
      </c>
      <c r="S17" s="11"/>
    </row>
    <row r="18" spans="1:30" s="2" customFormat="1" ht="21.75" customHeight="1" x14ac:dyDescent="0.2">
      <c r="A18" s="117">
        <v>1384</v>
      </c>
      <c r="B18" s="77" t="s">
        <v>75</v>
      </c>
      <c r="C18" s="69"/>
      <c r="D18" s="188">
        <v>512520</v>
      </c>
      <c r="E18" s="75">
        <v>12489816.23</v>
      </c>
      <c r="F18" s="75">
        <f t="shared" si="5"/>
        <v>-11977296.23</v>
      </c>
      <c r="G18" s="127">
        <f t="shared" si="4"/>
        <v>-0.95896496869433923</v>
      </c>
      <c r="H18" s="46">
        <v>25</v>
      </c>
      <c r="I18" s="141" t="s">
        <v>101</v>
      </c>
      <c r="J18" s="44"/>
      <c r="K18" s="76">
        <f>+K19</f>
        <v>12055551319.1</v>
      </c>
      <c r="L18" s="76">
        <f>+L19</f>
        <v>11867341617.6</v>
      </c>
      <c r="M18" s="76">
        <f>+M19</f>
        <v>188209701.5</v>
      </c>
      <c r="N18" s="112">
        <f>+M18/L18</f>
        <v>1.5859466051004498E-2</v>
      </c>
      <c r="P18" s="11"/>
      <c r="R18" s="11">
        <f>+K16/$K$10*100</f>
        <v>22.223649674385804</v>
      </c>
      <c r="S18" s="11">
        <f>+K16/$K$35*100</f>
        <v>143.76837311469481</v>
      </c>
    </row>
    <row r="19" spans="1:30" s="2" customFormat="1" ht="24" customHeight="1" x14ac:dyDescent="0.2">
      <c r="A19" s="117"/>
      <c r="B19" s="77"/>
      <c r="C19" s="69"/>
      <c r="D19" s="188"/>
      <c r="E19" s="75"/>
      <c r="F19" s="75"/>
      <c r="G19" s="127"/>
      <c r="H19" s="49">
        <v>2511</v>
      </c>
      <c r="I19" s="77" t="s">
        <v>102</v>
      </c>
      <c r="J19" s="69"/>
      <c r="K19" s="188">
        <v>12055551319.1</v>
      </c>
      <c r="L19" s="75">
        <v>11867341617.6</v>
      </c>
      <c r="M19" s="75">
        <f>+K19-L19</f>
        <v>188209701.5</v>
      </c>
      <c r="N19" s="113">
        <f>+M19/L19</f>
        <v>1.5859466051004498E-2</v>
      </c>
      <c r="R19" s="11" t="e">
        <f>+#REF!/$K$10*100</f>
        <v>#REF!</v>
      </c>
      <c r="S19" s="11"/>
    </row>
    <row r="20" spans="1:30" s="2" customFormat="1" ht="20.25" customHeight="1" x14ac:dyDescent="0.2">
      <c r="A20" s="117"/>
      <c r="B20" s="77"/>
      <c r="C20" s="69"/>
      <c r="D20" s="188"/>
      <c r="E20" s="75"/>
      <c r="F20" s="75"/>
      <c r="G20" s="127"/>
      <c r="H20" s="42"/>
      <c r="I20" s="42"/>
      <c r="J20" s="69"/>
      <c r="K20" s="75"/>
      <c r="L20" s="75"/>
      <c r="M20" s="75"/>
      <c r="N20" s="118"/>
      <c r="S20" s="11"/>
      <c r="X20" s="47"/>
      <c r="Y20" s="12"/>
      <c r="AD20" s="127"/>
    </row>
    <row r="21" spans="1:30" s="2" customFormat="1" ht="18.75" customHeight="1" x14ac:dyDescent="0.2">
      <c r="A21" s="115">
        <v>15</v>
      </c>
      <c r="B21" s="45" t="s">
        <v>77</v>
      </c>
      <c r="C21" s="44"/>
      <c r="D21" s="76">
        <f>SUM(D22:D24)</f>
        <v>713112832.96000004</v>
      </c>
      <c r="E21" s="76">
        <f>SUM(E22:E24)</f>
        <v>492371390.68000001</v>
      </c>
      <c r="F21" s="76">
        <f>SUM(F22:F24)</f>
        <v>220741442.28</v>
      </c>
      <c r="G21" s="126">
        <f t="shared" si="0"/>
        <v>0.44832304731422418</v>
      </c>
      <c r="H21" s="46">
        <v>27</v>
      </c>
      <c r="I21" s="45" t="s">
        <v>103</v>
      </c>
      <c r="J21" s="44"/>
      <c r="K21" s="76">
        <f>SUM(K22:K23)</f>
        <v>193170292</v>
      </c>
      <c r="L21" s="76">
        <f>SUM(L22:L23)</f>
        <v>161712073</v>
      </c>
      <c r="M21" s="76">
        <f>SUM(M22:M23)</f>
        <v>31458219</v>
      </c>
      <c r="N21" s="112">
        <f>+M21/L21</f>
        <v>0.1945322845499606</v>
      </c>
      <c r="P21" s="11" t="e">
        <f>+#REF!/$D$20*100</f>
        <v>#REF!</v>
      </c>
      <c r="Q21" s="11"/>
      <c r="R21" s="11"/>
      <c r="S21" s="11">
        <f>+K18/$K$35*100</f>
        <v>2581.622716373251</v>
      </c>
      <c r="X21" s="47"/>
      <c r="Y21" s="12"/>
      <c r="AD21" s="127"/>
    </row>
    <row r="22" spans="1:30" s="2" customFormat="1" ht="18" customHeight="1" x14ac:dyDescent="0.2">
      <c r="A22" s="117">
        <v>1510</v>
      </c>
      <c r="B22" s="77" t="s">
        <v>78</v>
      </c>
      <c r="C22" s="69"/>
      <c r="D22" s="188">
        <v>128918098.73999999</v>
      </c>
      <c r="E22" s="75">
        <v>119767713.87</v>
      </c>
      <c r="F22" s="75">
        <f>+D22-E22</f>
        <v>9150384.8699999899</v>
      </c>
      <c r="G22" s="127">
        <f t="shared" si="0"/>
        <v>7.6401098211928239E-2</v>
      </c>
      <c r="H22" s="47">
        <v>2701</v>
      </c>
      <c r="I22" s="77" t="s">
        <v>28</v>
      </c>
      <c r="J22" s="69"/>
      <c r="K22" s="188">
        <v>193170292</v>
      </c>
      <c r="L22" s="188">
        <v>161712073</v>
      </c>
      <c r="M22" s="75">
        <f>+K22-L22</f>
        <v>31458219</v>
      </c>
      <c r="N22" s="113">
        <f>+M22/L22</f>
        <v>0.1945322845499606</v>
      </c>
      <c r="P22" s="11" t="e">
        <f>+D23/$D$20*100</f>
        <v>#DIV/0!</v>
      </c>
      <c r="R22" s="11"/>
      <c r="S22" s="11"/>
    </row>
    <row r="23" spans="1:30" s="2" customFormat="1" ht="19.5" customHeight="1" x14ac:dyDescent="0.2">
      <c r="A23" s="117">
        <v>1514</v>
      </c>
      <c r="B23" s="77" t="s">
        <v>79</v>
      </c>
      <c r="C23" s="69"/>
      <c r="D23" s="188">
        <v>581546712.13999999</v>
      </c>
      <c r="E23" s="75">
        <v>369748048.69</v>
      </c>
      <c r="F23" s="75">
        <f>+D23-E23</f>
        <v>211798663.44999999</v>
      </c>
      <c r="G23" s="127">
        <f t="shared" si="0"/>
        <v>0.57281888085790511</v>
      </c>
      <c r="H23" s="47"/>
      <c r="I23" s="77"/>
      <c r="J23" s="70"/>
      <c r="K23" s="75"/>
      <c r="L23" s="75"/>
      <c r="M23" s="75"/>
      <c r="N23" s="113"/>
      <c r="P23" s="11" t="e">
        <f>+D24/$D$20*100</f>
        <v>#DIV/0!</v>
      </c>
      <c r="R23" s="11"/>
      <c r="S23" s="11"/>
    </row>
    <row r="24" spans="1:30" s="2" customFormat="1" ht="20.25" customHeight="1" x14ac:dyDescent="0.2">
      <c r="A24" s="110">
        <v>1530</v>
      </c>
      <c r="B24" s="42" t="s">
        <v>9</v>
      </c>
      <c r="C24" s="69"/>
      <c r="D24" s="188">
        <v>2648022.08</v>
      </c>
      <c r="E24" s="75">
        <v>2855628.12</v>
      </c>
      <c r="F24" s="75">
        <f t="shared" ref="F24" si="7">+D24-E24</f>
        <v>-207606.04000000004</v>
      </c>
      <c r="G24" s="127">
        <f t="shared" si="0"/>
        <v>-7.2700656834826252E-2</v>
      </c>
      <c r="H24" s="48"/>
      <c r="I24" s="49"/>
      <c r="J24" s="70"/>
      <c r="K24" s="75"/>
      <c r="L24" s="75"/>
      <c r="M24" s="75"/>
      <c r="N24" s="113"/>
      <c r="P24" s="11"/>
      <c r="R24" s="11"/>
      <c r="S24" s="11">
        <f>+K21/$K$35*100</f>
        <v>41.366238735640309</v>
      </c>
      <c r="Y24" s="12"/>
    </row>
    <row r="25" spans="1:30" s="2" customFormat="1" ht="18.75" customHeight="1" x14ac:dyDescent="0.2">
      <c r="A25" s="115">
        <v>19</v>
      </c>
      <c r="B25" s="45" t="s">
        <v>11</v>
      </c>
      <c r="C25" s="44"/>
      <c r="D25" s="76">
        <f>SUM(D26:D26)</f>
        <v>1056775743.53</v>
      </c>
      <c r="E25" s="76">
        <f>SUM(E26:E26)</f>
        <v>433662544.66000003</v>
      </c>
      <c r="F25" s="76">
        <f>SUM(F26:F26)</f>
        <v>623113198.86999989</v>
      </c>
      <c r="G25" s="126">
        <f t="shared" si="0"/>
        <v>1.4368619253445853</v>
      </c>
      <c r="H25" s="46">
        <v>29</v>
      </c>
      <c r="I25" s="45" t="s">
        <v>10</v>
      </c>
      <c r="J25" s="44"/>
      <c r="K25" s="76">
        <f>SUM(K26:K28)</f>
        <v>3665409602.8000002</v>
      </c>
      <c r="L25" s="76">
        <f t="shared" ref="L25:M25" si="8">SUM(L26:L28)</f>
        <v>4991457574.6700001</v>
      </c>
      <c r="M25" s="76">
        <f t="shared" si="8"/>
        <v>-1326047971.8699996</v>
      </c>
      <c r="N25" s="112">
        <f>+M25/L25</f>
        <v>-0.26566347645610683</v>
      </c>
      <c r="P25" s="11" t="e">
        <f>+#REF!/$D$9*100</f>
        <v>#REF!</v>
      </c>
      <c r="R25" s="11"/>
      <c r="S25" s="11"/>
      <c r="Z25" s="12"/>
    </row>
    <row r="26" spans="1:30" s="2" customFormat="1" ht="24.75" customHeight="1" x14ac:dyDescent="0.2">
      <c r="A26" s="117">
        <v>1906</v>
      </c>
      <c r="B26" s="77" t="s">
        <v>8</v>
      </c>
      <c r="C26" s="70"/>
      <c r="D26" s="188">
        <v>1056775743.53</v>
      </c>
      <c r="E26" s="75">
        <v>433662544.66000003</v>
      </c>
      <c r="F26" s="75">
        <f>+D26-E26</f>
        <v>623113198.86999989</v>
      </c>
      <c r="G26" s="127">
        <f t="shared" si="0"/>
        <v>1.4368619253445853</v>
      </c>
      <c r="H26" s="47">
        <v>2902</v>
      </c>
      <c r="I26" s="77" t="s">
        <v>104</v>
      </c>
      <c r="J26" s="69"/>
      <c r="K26" s="188">
        <v>1807727932.4200001</v>
      </c>
      <c r="L26" s="75">
        <v>1540561649.1500001</v>
      </c>
      <c r="M26" s="75">
        <f>+K26-L26</f>
        <v>267166283.26999998</v>
      </c>
      <c r="N26" s="113">
        <f>+M26/L26</f>
        <v>0.17342135150346505</v>
      </c>
      <c r="R26" s="11"/>
      <c r="S26" s="11"/>
    </row>
    <row r="27" spans="1:30" s="2" customFormat="1" ht="23.25" customHeight="1" x14ac:dyDescent="0.2">
      <c r="A27" s="117"/>
      <c r="B27" s="77"/>
      <c r="C27" s="70"/>
      <c r="D27" s="75"/>
      <c r="E27" s="75"/>
      <c r="F27" s="75"/>
      <c r="G27" s="127"/>
      <c r="H27" s="42">
        <v>2910</v>
      </c>
      <c r="I27" s="77" t="s">
        <v>12</v>
      </c>
      <c r="J27" s="69"/>
      <c r="K27" s="188">
        <v>307735445</v>
      </c>
      <c r="L27" s="75">
        <v>2157725042.1599998</v>
      </c>
      <c r="M27" s="75">
        <f>+K27-L27</f>
        <v>-1849989597.1599998</v>
      </c>
      <c r="N27" s="113">
        <f>+M27/L27</f>
        <v>-0.85737967582192953</v>
      </c>
      <c r="R27" s="11"/>
      <c r="S27" s="11"/>
    </row>
    <row r="28" spans="1:30" s="2" customFormat="1" ht="21.95" customHeight="1" x14ac:dyDescent="0.2">
      <c r="A28" s="110"/>
      <c r="B28" s="41" t="s">
        <v>80</v>
      </c>
      <c r="C28" s="44"/>
      <c r="D28" s="128">
        <f>D29+D32+D46+D48</f>
        <v>291125001477.67004</v>
      </c>
      <c r="E28" s="128">
        <f>E29+E32+E46+E48</f>
        <v>291175465054.25006</v>
      </c>
      <c r="F28" s="128">
        <f>F29+F32+F46+F48</f>
        <v>-50463576.58000192</v>
      </c>
      <c r="G28" s="129">
        <f>+F28/E28</f>
        <v>-1.7330985140042568E-4</v>
      </c>
      <c r="H28" s="42" t="s">
        <v>155</v>
      </c>
      <c r="I28" s="77" t="s">
        <v>156</v>
      </c>
      <c r="J28" s="69"/>
      <c r="K28" s="188">
        <v>1549946225.3800001</v>
      </c>
      <c r="L28" s="75">
        <v>1293170883.3599999</v>
      </c>
      <c r="M28" s="75">
        <f>+K28-L28</f>
        <v>256775342.02000022</v>
      </c>
      <c r="N28" s="113">
        <f>+M28/L28</f>
        <v>0.19856257616381678</v>
      </c>
      <c r="R28" s="11"/>
      <c r="S28" s="11">
        <f>+K25/$K$35*100</f>
        <v>784.92508927476968</v>
      </c>
    </row>
    <row r="29" spans="1:30" s="2" customFormat="1" ht="21" customHeight="1" x14ac:dyDescent="0.2">
      <c r="A29" s="115">
        <v>13</v>
      </c>
      <c r="B29" s="45" t="s">
        <v>73</v>
      </c>
      <c r="C29" s="44"/>
      <c r="D29" s="76">
        <f>SUM(D30:D31)</f>
        <v>3829306.880000025</v>
      </c>
      <c r="E29" s="76">
        <f>SUM(E30:E31)</f>
        <v>5317633.880000025</v>
      </c>
      <c r="F29" s="76">
        <f>SUM(F30:F31)</f>
        <v>-1488327</v>
      </c>
      <c r="G29" s="126">
        <f>+F29/E29</f>
        <v>-0.27988519585707033</v>
      </c>
      <c r="H29" s="42"/>
      <c r="I29" s="77"/>
      <c r="J29" s="69"/>
      <c r="K29" s="75"/>
      <c r="L29" s="75"/>
      <c r="M29" s="75"/>
      <c r="N29" s="113"/>
      <c r="R29" s="11"/>
      <c r="S29" s="11"/>
    </row>
    <row r="30" spans="1:30" s="2" customFormat="1" ht="25.5" customHeight="1" x14ac:dyDescent="0.2">
      <c r="A30" s="117">
        <v>1385</v>
      </c>
      <c r="B30" s="77" t="s">
        <v>158</v>
      </c>
      <c r="C30" s="69"/>
      <c r="D30" s="188">
        <v>177335797.30000001</v>
      </c>
      <c r="E30" s="75">
        <v>174691771.30000001</v>
      </c>
      <c r="F30" s="75">
        <f t="shared" ref="F30:F31" si="9">+D30-E30</f>
        <v>2644026</v>
      </c>
      <c r="G30" s="127">
        <f t="shared" ref="G30:G31" si="10">+F30/E30</f>
        <v>1.5135378045136347E-2</v>
      </c>
      <c r="H30" s="42"/>
      <c r="I30" s="41"/>
      <c r="J30" s="44"/>
      <c r="K30" s="76"/>
      <c r="L30" s="76"/>
      <c r="M30" s="76"/>
      <c r="N30" s="112"/>
      <c r="P30" s="11"/>
      <c r="R30" s="11"/>
      <c r="S30" s="11"/>
    </row>
    <row r="31" spans="1:30" s="2" customFormat="1" ht="24" customHeight="1" x14ac:dyDescent="0.2">
      <c r="A31" s="117">
        <v>1386</v>
      </c>
      <c r="B31" s="77" t="s">
        <v>76</v>
      </c>
      <c r="C31" s="69"/>
      <c r="D31" s="188">
        <v>-173506490.41999999</v>
      </c>
      <c r="E31" s="75">
        <v>-169374137.41999999</v>
      </c>
      <c r="F31" s="75">
        <f t="shared" si="9"/>
        <v>-4132353</v>
      </c>
      <c r="G31" s="127">
        <f t="shared" si="10"/>
        <v>2.4397780339704005E-2</v>
      </c>
      <c r="H31" s="47"/>
      <c r="I31" s="77"/>
      <c r="J31" s="69"/>
      <c r="K31" s="75"/>
      <c r="L31" s="75"/>
      <c r="M31" s="75"/>
      <c r="N31" s="113"/>
      <c r="P31" s="11" t="e">
        <f>+#REF!/$D$9*100</f>
        <v>#REF!</v>
      </c>
      <c r="R31" s="11"/>
      <c r="S31" s="11"/>
    </row>
    <row r="32" spans="1:30" s="2" customFormat="1" ht="17.25" customHeight="1" x14ac:dyDescent="0.2">
      <c r="A32" s="115">
        <v>16</v>
      </c>
      <c r="B32" s="46" t="s">
        <v>81</v>
      </c>
      <c r="C32" s="44"/>
      <c r="D32" s="76">
        <f>SUM(D33:D45)</f>
        <v>289082767311.55005</v>
      </c>
      <c r="E32" s="76">
        <f t="shared" ref="E32:F32" si="11">SUM(E33:E45)</f>
        <v>289048761677.05005</v>
      </c>
      <c r="F32" s="76">
        <f t="shared" si="11"/>
        <v>34005634.499998093</v>
      </c>
      <c r="G32" s="126">
        <f>+F32/E32</f>
        <v>1.1764670536105631E-4</v>
      </c>
      <c r="H32" s="42"/>
      <c r="I32" s="41" t="s">
        <v>105</v>
      </c>
      <c r="J32" s="131"/>
      <c r="K32" s="128">
        <f>+K34+K37</f>
        <v>510493596</v>
      </c>
      <c r="L32" s="128">
        <f t="shared" ref="L32:M32" si="12">+L34+L37</f>
        <v>507393963</v>
      </c>
      <c r="M32" s="128">
        <f t="shared" si="12"/>
        <v>3099633</v>
      </c>
      <c r="N32" s="130">
        <f>+M32/L32</f>
        <v>6.1089276302642966E-3</v>
      </c>
      <c r="P32" s="11"/>
      <c r="S32" s="11"/>
    </row>
    <row r="33" spans="1:26" s="2" customFormat="1" ht="16.5" customHeight="1" x14ac:dyDescent="0.2">
      <c r="A33" s="117">
        <v>1605</v>
      </c>
      <c r="B33" s="42" t="s">
        <v>14</v>
      </c>
      <c r="C33" s="69"/>
      <c r="D33" s="188">
        <v>238583643185.28</v>
      </c>
      <c r="E33" s="188">
        <v>238583643185.28</v>
      </c>
      <c r="F33" s="75">
        <f t="shared" ref="F33:F45" si="13">+D33-E33</f>
        <v>0</v>
      </c>
      <c r="G33" s="127">
        <f t="shared" ref="G33:G43" si="14">+F33/E33</f>
        <v>0</v>
      </c>
      <c r="H33" s="47"/>
      <c r="I33" s="77"/>
      <c r="J33" s="69"/>
      <c r="K33" s="75"/>
      <c r="L33" s="75"/>
      <c r="M33" s="75"/>
      <c r="N33" s="113"/>
      <c r="R33" s="11"/>
    </row>
    <row r="34" spans="1:26" s="2" customFormat="1" ht="21.75" customHeight="1" x14ac:dyDescent="0.2">
      <c r="A34" s="117">
        <v>1615</v>
      </c>
      <c r="B34" s="77" t="s">
        <v>82</v>
      </c>
      <c r="C34" s="155"/>
      <c r="D34" s="75">
        <v>249733128.78</v>
      </c>
      <c r="E34" s="75">
        <v>249733128.78</v>
      </c>
      <c r="F34" s="75">
        <f t="shared" si="13"/>
        <v>0</v>
      </c>
      <c r="G34" s="127">
        <f t="shared" si="14"/>
        <v>0</v>
      </c>
      <c r="H34" s="46">
        <v>25</v>
      </c>
      <c r="I34" s="91" t="s">
        <v>101</v>
      </c>
      <c r="J34" s="44"/>
      <c r="K34" s="76">
        <f>SUM(K35:K36)</f>
        <v>466975722</v>
      </c>
      <c r="L34" s="76">
        <f>SUM(L35:L36)</f>
        <v>448258063</v>
      </c>
      <c r="M34" s="76">
        <f>SUM(M35:M36)</f>
        <v>18717659</v>
      </c>
      <c r="N34" s="112">
        <f>+M34/L34</f>
        <v>4.1756435734207863E-2</v>
      </c>
      <c r="P34" s="11"/>
      <c r="S34" s="11"/>
    </row>
    <row r="35" spans="1:26" s="2" customFormat="1" ht="24" customHeight="1" x14ac:dyDescent="0.2">
      <c r="A35" s="117">
        <v>1635</v>
      </c>
      <c r="B35" s="77" t="s">
        <v>16</v>
      </c>
      <c r="C35" s="155"/>
      <c r="D35" s="188">
        <v>85531851</v>
      </c>
      <c r="E35" s="75">
        <v>8426351</v>
      </c>
      <c r="F35" s="75">
        <f t="shared" si="13"/>
        <v>77105500</v>
      </c>
      <c r="G35" s="127">
        <f t="shared" si="14"/>
        <v>9.1505207888918942</v>
      </c>
      <c r="H35" s="47">
        <v>2512</v>
      </c>
      <c r="I35" s="77" t="s">
        <v>106</v>
      </c>
      <c r="J35" s="69"/>
      <c r="K35" s="188">
        <v>466975722</v>
      </c>
      <c r="L35" s="75">
        <v>448258063</v>
      </c>
      <c r="M35" s="75">
        <f>+K35-L35</f>
        <v>18717659</v>
      </c>
      <c r="N35" s="113">
        <f>+M35/L35</f>
        <v>4.1756435734207863E-2</v>
      </c>
      <c r="R35" s="11" t="e">
        <f>+#REF!/$K$35*100</f>
        <v>#REF!</v>
      </c>
      <c r="S35" s="11"/>
    </row>
    <row r="36" spans="1:26" s="2" customFormat="1" ht="23.25" customHeight="1" x14ac:dyDescent="0.2">
      <c r="A36" s="117">
        <v>1637</v>
      </c>
      <c r="B36" s="77" t="s">
        <v>83</v>
      </c>
      <c r="C36" s="155"/>
      <c r="D36" s="188">
        <v>101325842</v>
      </c>
      <c r="E36" s="75">
        <v>88638080</v>
      </c>
      <c r="F36" s="75">
        <f t="shared" si="13"/>
        <v>12687762</v>
      </c>
      <c r="G36" s="127">
        <f t="shared" si="14"/>
        <v>0.14314120973739503</v>
      </c>
      <c r="H36" s="150"/>
      <c r="I36" s="77"/>
      <c r="J36" s="69"/>
      <c r="K36" s="75"/>
      <c r="L36" s="75"/>
      <c r="M36" s="75"/>
      <c r="N36" s="113"/>
      <c r="R36" s="11"/>
      <c r="S36" s="11"/>
    </row>
    <row r="37" spans="1:26" s="2" customFormat="1" ht="16.5" customHeight="1" x14ac:dyDescent="0.2">
      <c r="A37" s="117">
        <v>1640</v>
      </c>
      <c r="B37" s="77" t="s">
        <v>17</v>
      </c>
      <c r="C37" s="69"/>
      <c r="D37" s="188">
        <v>45764095273.839996</v>
      </c>
      <c r="E37" s="188">
        <v>45764095273.839996</v>
      </c>
      <c r="F37" s="75">
        <f t="shared" si="13"/>
        <v>0</v>
      </c>
      <c r="G37" s="127">
        <f t="shared" si="14"/>
        <v>0</v>
      </c>
      <c r="H37" s="46">
        <v>27</v>
      </c>
      <c r="I37" s="45" t="s">
        <v>103</v>
      </c>
      <c r="J37" s="44"/>
      <c r="K37" s="76">
        <f>+K38</f>
        <v>43517874</v>
      </c>
      <c r="L37" s="76">
        <f>+L38</f>
        <v>59135900</v>
      </c>
      <c r="M37" s="76">
        <f>SUM(M38:M39)</f>
        <v>-15618026</v>
      </c>
      <c r="N37" s="112">
        <f>+M37/L37</f>
        <v>-0.26410397068447422</v>
      </c>
      <c r="R37" s="11"/>
      <c r="S37" s="11"/>
    </row>
    <row r="38" spans="1:26" s="2" customFormat="1" ht="16.5" customHeight="1" x14ac:dyDescent="0.2">
      <c r="A38" s="117">
        <v>1655</v>
      </c>
      <c r="B38" s="77" t="s">
        <v>19</v>
      </c>
      <c r="C38" s="155"/>
      <c r="D38" s="188">
        <v>1944828209.9000001</v>
      </c>
      <c r="E38" s="75">
        <v>1927647414.9000001</v>
      </c>
      <c r="F38" s="75">
        <f t="shared" si="13"/>
        <v>17180795</v>
      </c>
      <c r="G38" s="127">
        <f t="shared" si="14"/>
        <v>8.9128306697577684E-3</v>
      </c>
      <c r="H38" s="47">
        <v>2701</v>
      </c>
      <c r="I38" s="77" t="s">
        <v>28</v>
      </c>
      <c r="J38" s="69"/>
      <c r="K38" s="75">
        <v>43517874</v>
      </c>
      <c r="L38" s="75">
        <v>59135900</v>
      </c>
      <c r="M38" s="75">
        <f>+K38-L38</f>
        <v>-15618026</v>
      </c>
      <c r="N38" s="113">
        <f>+M38/L38</f>
        <v>-0.26410397068447422</v>
      </c>
      <c r="P38" s="40" t="e">
        <f>+#REF!/#REF!*100</f>
        <v>#REF!</v>
      </c>
      <c r="R38" s="11"/>
      <c r="S38" s="11"/>
      <c r="Z38" s="12"/>
    </row>
    <row r="39" spans="1:26" s="2" customFormat="1" ht="18" customHeight="1" x14ac:dyDescent="0.2">
      <c r="A39" s="117">
        <v>1660</v>
      </c>
      <c r="B39" s="77" t="s">
        <v>84</v>
      </c>
      <c r="C39" s="155"/>
      <c r="D39" s="188">
        <v>2544049053.46</v>
      </c>
      <c r="E39" s="75">
        <v>2527931594.46</v>
      </c>
      <c r="F39" s="75">
        <f t="shared" si="13"/>
        <v>16117459</v>
      </c>
      <c r="G39" s="127">
        <f t="shared" si="14"/>
        <v>6.3757496584645138E-3</v>
      </c>
      <c r="H39" s="42"/>
      <c r="I39" s="42"/>
      <c r="J39" s="69"/>
      <c r="K39" s="75"/>
      <c r="L39" s="75"/>
      <c r="M39" s="75"/>
      <c r="N39" s="113"/>
      <c r="R39" s="11"/>
    </row>
    <row r="40" spans="1:26" s="2" customFormat="1" ht="24.95" customHeight="1" x14ac:dyDescent="0.2">
      <c r="A40" s="117">
        <v>1665</v>
      </c>
      <c r="B40" s="77" t="s">
        <v>85</v>
      </c>
      <c r="C40" s="155"/>
      <c r="D40" s="188">
        <v>1196149975.23</v>
      </c>
      <c r="E40" s="75">
        <v>1145459638.23</v>
      </c>
      <c r="F40" s="75">
        <f t="shared" si="13"/>
        <v>50690337</v>
      </c>
      <c r="G40" s="127">
        <f t="shared" si="14"/>
        <v>4.4253272056209936E-2</v>
      </c>
      <c r="H40" s="42"/>
      <c r="I40" s="41" t="s">
        <v>13</v>
      </c>
      <c r="J40" s="44"/>
      <c r="K40" s="128">
        <f>+K9+K32</f>
        <v>19445566051.310001</v>
      </c>
      <c r="L40" s="128">
        <f t="shared" ref="L40:M40" si="15">+L9+L32</f>
        <v>22374383915.540001</v>
      </c>
      <c r="M40" s="128">
        <f t="shared" si="15"/>
        <v>-2928817864.2299995</v>
      </c>
      <c r="N40" s="130">
        <f>+M40/L40</f>
        <v>-0.13090049206654605</v>
      </c>
      <c r="P40" s="40">
        <f>+D32/D53*100</f>
        <v>55.251159899758953</v>
      </c>
      <c r="R40" s="11"/>
      <c r="S40" s="11"/>
    </row>
    <row r="41" spans="1:26" s="2" customFormat="1" ht="24" customHeight="1" x14ac:dyDescent="0.2">
      <c r="A41" s="117">
        <v>1670</v>
      </c>
      <c r="B41" s="77" t="s">
        <v>86</v>
      </c>
      <c r="C41" s="155"/>
      <c r="D41" s="188">
        <v>12526706240.18</v>
      </c>
      <c r="E41" s="75">
        <v>12062606656.030001</v>
      </c>
      <c r="F41" s="75">
        <f t="shared" si="13"/>
        <v>464099584.14999962</v>
      </c>
      <c r="G41" s="127">
        <f t="shared" si="14"/>
        <v>3.8474236737048868E-2</v>
      </c>
      <c r="H41" s="42"/>
      <c r="I41" s="41"/>
      <c r="J41" s="44"/>
      <c r="K41" s="181"/>
      <c r="L41" s="181"/>
      <c r="M41" s="181"/>
      <c r="N41" s="182"/>
      <c r="P41" s="11">
        <f>+D33/$D$32*100</f>
        <v>82.531257537103144</v>
      </c>
      <c r="R41" s="11"/>
      <c r="S41" s="11"/>
    </row>
    <row r="42" spans="1:26" s="2" customFormat="1" ht="24" customHeight="1" x14ac:dyDescent="0.2">
      <c r="A42" s="117">
        <v>1675</v>
      </c>
      <c r="B42" s="77" t="s">
        <v>87</v>
      </c>
      <c r="C42" s="155"/>
      <c r="D42" s="188">
        <v>1929741121</v>
      </c>
      <c r="E42" s="75">
        <v>1929741121</v>
      </c>
      <c r="F42" s="75">
        <f t="shared" si="13"/>
        <v>0</v>
      </c>
      <c r="G42" s="127">
        <f t="shared" si="14"/>
        <v>0</v>
      </c>
      <c r="H42" s="42"/>
      <c r="I42" s="41"/>
      <c r="J42" s="44"/>
      <c r="K42" s="76"/>
      <c r="L42" s="76"/>
      <c r="M42" s="76"/>
      <c r="N42" s="112"/>
      <c r="P42" s="11"/>
      <c r="R42" s="11"/>
      <c r="S42" s="11"/>
    </row>
    <row r="43" spans="1:26" s="2" customFormat="1" ht="21.95" customHeight="1" x14ac:dyDescent="0.2">
      <c r="A43" s="117">
        <v>1680</v>
      </c>
      <c r="B43" s="77" t="s">
        <v>88</v>
      </c>
      <c r="C43" s="155"/>
      <c r="D43" s="188">
        <v>550476931.42999995</v>
      </c>
      <c r="E43" s="75">
        <v>421976175.43000001</v>
      </c>
      <c r="F43" s="75">
        <f t="shared" si="13"/>
        <v>128500755.99999994</v>
      </c>
      <c r="G43" s="127">
        <f t="shared" si="14"/>
        <v>0.30452135329454499</v>
      </c>
      <c r="H43" s="48"/>
      <c r="I43" s="42"/>
      <c r="J43" s="69"/>
      <c r="K43" s="183"/>
      <c r="L43" s="183"/>
      <c r="M43" s="183"/>
      <c r="N43" s="184"/>
      <c r="P43" s="29">
        <f>+D34/$D$32*100</f>
        <v>8.6388106459095088E-2</v>
      </c>
      <c r="Q43" s="11">
        <f>+D32/D53*100</f>
        <v>55.251159899758953</v>
      </c>
      <c r="R43" s="11"/>
      <c r="S43" s="11"/>
    </row>
    <row r="44" spans="1:26" s="2" customFormat="1" ht="20.25" customHeight="1" x14ac:dyDescent="0.2">
      <c r="A44" s="117">
        <v>1681</v>
      </c>
      <c r="B44" s="77" t="s">
        <v>23</v>
      </c>
      <c r="C44" s="155"/>
      <c r="D44" s="188">
        <v>1432588454.6700001</v>
      </c>
      <c r="E44" s="75">
        <v>1425540389.6700001</v>
      </c>
      <c r="F44" s="75">
        <f t="shared" si="13"/>
        <v>7048065</v>
      </c>
      <c r="G44" s="127">
        <f>+F44/E44</f>
        <v>4.9441356071514495E-3</v>
      </c>
      <c r="H44" s="42"/>
      <c r="I44" s="186" t="s">
        <v>15</v>
      </c>
      <c r="J44" s="44"/>
      <c r="K44" s="128">
        <f>+K46</f>
        <v>552143603833.93994</v>
      </c>
      <c r="L44" s="128">
        <f>+L46</f>
        <v>494146369035.02002</v>
      </c>
      <c r="M44" s="128">
        <f>+M46</f>
        <v>57997234798.919998</v>
      </c>
      <c r="N44" s="130">
        <f>+M44/L44</f>
        <v>0.11736853376496176</v>
      </c>
      <c r="R44" s="11"/>
      <c r="S44" s="11"/>
    </row>
    <row r="45" spans="1:26" s="2" customFormat="1" ht="25.5" customHeight="1" x14ac:dyDescent="0.2">
      <c r="A45" s="110">
        <v>1685</v>
      </c>
      <c r="B45" s="77" t="s">
        <v>89</v>
      </c>
      <c r="C45" s="69"/>
      <c r="D45" s="188">
        <v>-17826101955.220001</v>
      </c>
      <c r="E45" s="75">
        <v>-17086677331.57</v>
      </c>
      <c r="F45" s="75">
        <f t="shared" si="13"/>
        <v>-739424623.65000153</v>
      </c>
      <c r="G45" s="127">
        <f>+F45/E45</f>
        <v>4.3274921700769305E-2</v>
      </c>
      <c r="H45" s="48"/>
      <c r="I45" s="42"/>
      <c r="J45" s="69"/>
      <c r="K45" s="76"/>
      <c r="L45" s="76"/>
      <c r="M45" s="76"/>
      <c r="N45" s="118"/>
      <c r="P45" s="11"/>
      <c r="R45" s="11"/>
      <c r="S45" s="11"/>
    </row>
    <row r="46" spans="1:26" s="2" customFormat="1" ht="33.75" x14ac:dyDescent="0.2">
      <c r="A46" s="115">
        <v>17</v>
      </c>
      <c r="B46" s="141" t="s">
        <v>21</v>
      </c>
      <c r="C46" s="44"/>
      <c r="D46" s="76">
        <f>+D47</f>
        <v>46206747.32</v>
      </c>
      <c r="E46" s="76">
        <f>+E47</f>
        <v>46206747.32</v>
      </c>
      <c r="F46" s="76">
        <f>+F47</f>
        <v>0</v>
      </c>
      <c r="G46" s="126">
        <f>+F46/E46</f>
        <v>0</v>
      </c>
      <c r="H46" s="46">
        <v>31</v>
      </c>
      <c r="I46" s="141" t="s">
        <v>116</v>
      </c>
      <c r="J46" s="44"/>
      <c r="K46" s="76">
        <f>SUM(K47:K50)</f>
        <v>552143603833.93994</v>
      </c>
      <c r="L46" s="76">
        <f>SUM(L47:L50)</f>
        <v>494146369035.02002</v>
      </c>
      <c r="M46" s="76">
        <f>SUM(M47:M50)</f>
        <v>57997234798.919998</v>
      </c>
      <c r="N46" s="112">
        <f t="shared" ref="N46:N48" si="16">+M46/L46</f>
        <v>0.11736853376496176</v>
      </c>
      <c r="P46" s="11">
        <f>+D36/$D$32*100</f>
        <v>3.5050806709207676E-2</v>
      </c>
      <c r="R46" s="11">
        <f>+K41/$K$38*100</f>
        <v>0</v>
      </c>
      <c r="S46" s="11"/>
    </row>
    <row r="47" spans="1:26" s="2" customFormat="1" ht="21.75" customHeight="1" x14ac:dyDescent="0.2">
      <c r="A47" s="117">
        <v>1715</v>
      </c>
      <c r="B47" s="49" t="s">
        <v>22</v>
      </c>
      <c r="C47" s="70"/>
      <c r="D47" s="75">
        <v>46206747.32</v>
      </c>
      <c r="E47" s="75">
        <v>46206747.32</v>
      </c>
      <c r="F47" s="75">
        <f>+D47-E47</f>
        <v>0</v>
      </c>
      <c r="G47" s="127">
        <f>+F47/E47</f>
        <v>0</v>
      </c>
      <c r="H47" s="47">
        <v>3105</v>
      </c>
      <c r="I47" s="77" t="s">
        <v>18</v>
      </c>
      <c r="J47" s="69"/>
      <c r="K47" s="188">
        <v>44239962579.480003</v>
      </c>
      <c r="L47" s="75">
        <v>44239962579.480003</v>
      </c>
      <c r="M47" s="75">
        <f>+K47-L47</f>
        <v>0</v>
      </c>
      <c r="N47" s="113">
        <f>+M47/L47</f>
        <v>0</v>
      </c>
      <c r="P47" s="29">
        <f>+D37/$D$32*100</f>
        <v>15.830793270537344</v>
      </c>
      <c r="R47" s="11">
        <f>+K44/$K$38*100</f>
        <v>1268774.3060103073</v>
      </c>
      <c r="S47" s="11"/>
    </row>
    <row r="48" spans="1:26" s="2" customFormat="1" ht="21.95" customHeight="1" x14ac:dyDescent="0.2">
      <c r="A48" s="115">
        <v>19</v>
      </c>
      <c r="B48" s="45" t="s">
        <v>11</v>
      </c>
      <c r="C48" s="44"/>
      <c r="D48" s="76">
        <f>SUM(D49:D52)</f>
        <v>1992198111.9199998</v>
      </c>
      <c r="E48" s="76">
        <f>SUM(E49:E52)</f>
        <v>2075178996</v>
      </c>
      <c r="F48" s="76">
        <f>SUM(F49:F52)</f>
        <v>-82980884.080000013</v>
      </c>
      <c r="G48" s="126">
        <f t="shared" ref="G48" si="17">+F48/E48</f>
        <v>-3.9987338075389817E-2</v>
      </c>
      <c r="H48" s="47">
        <v>3109</v>
      </c>
      <c r="I48" s="77" t="s">
        <v>117</v>
      </c>
      <c r="J48" s="69"/>
      <c r="K48" s="188">
        <v>429957078676.41998</v>
      </c>
      <c r="L48" s="75">
        <v>429391274570.94</v>
      </c>
      <c r="M48" s="75">
        <f>+K48-L48</f>
        <v>565804105.47998047</v>
      </c>
      <c r="N48" s="113">
        <f t="shared" si="16"/>
        <v>1.3176888748970227E-3</v>
      </c>
      <c r="P48" s="11">
        <f>+D39/$D$32*100</f>
        <v>0.8800417531350907</v>
      </c>
      <c r="R48" s="11">
        <f>+K45/$K$38*100</f>
        <v>0</v>
      </c>
      <c r="S48" s="11"/>
    </row>
    <row r="49" spans="1:26" s="2" customFormat="1" ht="24" customHeight="1" x14ac:dyDescent="0.2">
      <c r="A49" s="117">
        <v>1905</v>
      </c>
      <c r="B49" s="77" t="s">
        <v>187</v>
      </c>
      <c r="C49" s="69"/>
      <c r="D49" s="188">
        <v>32715806.66</v>
      </c>
      <c r="E49" s="188">
        <v>0</v>
      </c>
      <c r="F49" s="75">
        <f>+D49-E49</f>
        <v>32715806.66</v>
      </c>
      <c r="G49" s="185" t="s">
        <v>6</v>
      </c>
      <c r="H49" s="47">
        <v>3110</v>
      </c>
      <c r="I49" s="77" t="s">
        <v>20</v>
      </c>
      <c r="J49" s="69"/>
      <c r="K49" s="75">
        <f>+'EST RESUL DICIEMBRE 2024-2023'!D76</f>
        <v>77946562578.040024</v>
      </c>
      <c r="L49" s="75">
        <v>20515131884.600006</v>
      </c>
      <c r="M49" s="75">
        <f>+K49-L49</f>
        <v>57431430693.440018</v>
      </c>
      <c r="N49" s="113">
        <f>+M49/L49</f>
        <v>2.799466804137476</v>
      </c>
      <c r="P49" s="11">
        <f>+D40/$D$32*100</f>
        <v>0.41377422333199343</v>
      </c>
      <c r="R49" s="11" t="e">
        <f>+#REF!/$K$38*100</f>
        <v>#REF!</v>
      </c>
      <c r="S49" s="11"/>
    </row>
    <row r="50" spans="1:26" s="2" customFormat="1" ht="24.75" customHeight="1" x14ac:dyDescent="0.2">
      <c r="A50" s="117">
        <v>1909</v>
      </c>
      <c r="B50" s="77" t="s">
        <v>90</v>
      </c>
      <c r="C50" s="69"/>
      <c r="D50" s="188">
        <v>1263704</v>
      </c>
      <c r="E50" s="188">
        <v>1263704</v>
      </c>
      <c r="F50" s="75">
        <f>+D50-E50</f>
        <v>0</v>
      </c>
      <c r="G50" s="127">
        <f t="shared" ref="G50:G52" si="18">+F50/E50</f>
        <v>0</v>
      </c>
      <c r="H50" s="47"/>
      <c r="I50" s="77"/>
      <c r="J50" s="69"/>
      <c r="K50" s="75"/>
      <c r="L50" s="75"/>
      <c r="M50" s="75"/>
      <c r="N50" s="113"/>
      <c r="P50" s="29">
        <f>+D41/$D$32*100</f>
        <v>4.3332594179436956</v>
      </c>
      <c r="R50" s="11"/>
      <c r="S50" s="11"/>
    </row>
    <row r="51" spans="1:26" s="2" customFormat="1" ht="22.5" customHeight="1" x14ac:dyDescent="0.2">
      <c r="A51" s="117">
        <v>1970</v>
      </c>
      <c r="B51" s="77" t="s">
        <v>91</v>
      </c>
      <c r="C51" s="69"/>
      <c r="D51" s="188">
        <v>3163011364.6700001</v>
      </c>
      <c r="E51" s="75">
        <v>3163011364.6700001</v>
      </c>
      <c r="F51" s="75">
        <f>+D51-E51</f>
        <v>0</v>
      </c>
      <c r="G51" s="127">
        <f t="shared" si="18"/>
        <v>0</v>
      </c>
      <c r="H51" s="42"/>
      <c r="I51" s="42"/>
      <c r="J51" s="69"/>
      <c r="K51" s="75"/>
      <c r="L51" s="75"/>
      <c r="M51" s="75"/>
      <c r="N51" s="118"/>
      <c r="P51" s="11">
        <f>+D42/$D$32*100</f>
        <v>0.66753931372196984</v>
      </c>
      <c r="R51" s="11"/>
      <c r="S51" s="11"/>
      <c r="Y51" s="12"/>
    </row>
    <row r="52" spans="1:26" s="2" customFormat="1" ht="24" customHeight="1" x14ac:dyDescent="0.2">
      <c r="A52" s="110">
        <v>1975</v>
      </c>
      <c r="B52" s="77" t="s">
        <v>92</v>
      </c>
      <c r="C52" s="69"/>
      <c r="D52" s="188">
        <v>-1204792763.4100001</v>
      </c>
      <c r="E52" s="75">
        <v>-1089096072.6700001</v>
      </c>
      <c r="F52" s="75">
        <f>+D52-E52</f>
        <v>-115696690.74000001</v>
      </c>
      <c r="G52" s="127">
        <f t="shared" si="18"/>
        <v>0.10623185010332556</v>
      </c>
      <c r="H52" s="42"/>
      <c r="I52" s="42"/>
      <c r="J52" s="69"/>
      <c r="K52" s="75"/>
      <c r="L52" s="75"/>
      <c r="M52" s="75"/>
      <c r="N52" s="118"/>
      <c r="P52" s="11">
        <f>+D43/$D$32*100</f>
        <v>0.19042191153398652</v>
      </c>
      <c r="R52" s="11"/>
      <c r="S52" s="11"/>
      <c r="Y52" s="12"/>
      <c r="Z52" s="12"/>
    </row>
    <row r="53" spans="1:26" s="2" customFormat="1" ht="27" customHeight="1" thickBot="1" x14ac:dyDescent="0.25">
      <c r="A53" s="134"/>
      <c r="B53" s="135" t="s">
        <v>24</v>
      </c>
      <c r="C53" s="136"/>
      <c r="D53" s="137">
        <f>+D9+D28</f>
        <v>523215743951.85004</v>
      </c>
      <c r="E53" s="137">
        <f>+E9+E28</f>
        <v>516520752950.56006</v>
      </c>
      <c r="F53" s="137">
        <f>+F9+F28</f>
        <v>6694991001.2899895</v>
      </c>
      <c r="G53" s="138">
        <f>+F53/E53</f>
        <v>1.2961707662365341E-2</v>
      </c>
      <c r="H53" s="139"/>
      <c r="I53" s="135" t="s">
        <v>25</v>
      </c>
      <c r="J53" s="136"/>
      <c r="K53" s="137">
        <f>+K40+K44</f>
        <v>571589169885.25</v>
      </c>
      <c r="L53" s="137">
        <f>+L40+L44</f>
        <v>516520752950.56</v>
      </c>
      <c r="M53" s="137">
        <f>+M40+M44</f>
        <v>55068416934.690002</v>
      </c>
      <c r="N53" s="140">
        <f>+M53/L53</f>
        <v>0.10661414206519018</v>
      </c>
      <c r="R53" s="11"/>
      <c r="S53" s="11"/>
      <c r="Y53" s="12">
        <f>+D53-K53</f>
        <v>-48373425933.399963</v>
      </c>
      <c r="Z53" s="12">
        <f>+E53-L53</f>
        <v>0</v>
      </c>
    </row>
    <row r="54" spans="1:26" s="2" customFormat="1" ht="27" customHeight="1" x14ac:dyDescent="0.2">
      <c r="A54" s="145">
        <v>8</v>
      </c>
      <c r="B54" s="142" t="s">
        <v>26</v>
      </c>
      <c r="C54" s="143"/>
      <c r="D54" s="144">
        <f>+D55+D61+D58</f>
        <v>0</v>
      </c>
      <c r="E54" s="144">
        <f>+E55+E61+E58</f>
        <v>0</v>
      </c>
      <c r="F54" s="144">
        <f>+F55+F61+F58</f>
        <v>0</v>
      </c>
      <c r="G54" s="167">
        <v>0</v>
      </c>
      <c r="H54" s="168">
        <v>9</v>
      </c>
      <c r="I54" s="156" t="s">
        <v>27</v>
      </c>
      <c r="J54" s="143"/>
      <c r="K54" s="144">
        <f>+K55+K59+K61</f>
        <v>0</v>
      </c>
      <c r="L54" s="144">
        <f>+L55+L59+L61</f>
        <v>0</v>
      </c>
      <c r="M54" s="144">
        <f>+M55+M59+M61</f>
        <v>-2.384185791015625E-7</v>
      </c>
      <c r="N54" s="146">
        <v>0</v>
      </c>
      <c r="Q54" s="11" t="e">
        <f>+#REF!/D53*100</f>
        <v>#REF!</v>
      </c>
      <c r="R54" s="11"/>
      <c r="S54" s="11"/>
    </row>
    <row r="55" spans="1:26" s="2" customFormat="1" ht="20.25" customHeight="1" x14ac:dyDescent="0.2">
      <c r="A55" s="115">
        <v>81</v>
      </c>
      <c r="B55" s="41" t="s">
        <v>107</v>
      </c>
      <c r="C55" s="44"/>
      <c r="D55" s="76">
        <f>SUM(D56:D57)</f>
        <v>622396705.27999997</v>
      </c>
      <c r="E55" s="76">
        <f t="shared" ref="E55:F55" si="19">SUM(E56:E57)</f>
        <v>1130850259.28</v>
      </c>
      <c r="F55" s="76">
        <f t="shared" si="19"/>
        <v>-508453554</v>
      </c>
      <c r="G55" s="166">
        <f>+F55/E55</f>
        <v>-0.44962058400528365</v>
      </c>
      <c r="H55" s="169">
        <v>91</v>
      </c>
      <c r="I55" s="45" t="s">
        <v>111</v>
      </c>
      <c r="J55" s="44"/>
      <c r="K55" s="76">
        <f>SUM(K56:K58)</f>
        <v>4532675674.3500004</v>
      </c>
      <c r="L55" s="76">
        <f>SUM(L56:L58)</f>
        <v>4735993978.1300001</v>
      </c>
      <c r="M55" s="76">
        <f>SUM(M56:M58)</f>
        <v>-203318303.77999997</v>
      </c>
      <c r="N55" s="112">
        <f>+M55/L55</f>
        <v>-4.2930439675153448E-2</v>
      </c>
      <c r="R55" s="11"/>
      <c r="S55" s="11"/>
    </row>
    <row r="56" spans="1:26" s="2" customFormat="1" ht="21.75" customHeight="1" x14ac:dyDescent="0.2">
      <c r="A56" s="114">
        <v>8120</v>
      </c>
      <c r="B56" s="77" t="s">
        <v>108</v>
      </c>
      <c r="C56" s="69"/>
      <c r="D56" s="75">
        <v>13544742</v>
      </c>
      <c r="E56" s="75">
        <v>13544742</v>
      </c>
      <c r="F56" s="75">
        <f>+D56-E56</f>
        <v>0</v>
      </c>
      <c r="G56" s="161">
        <f>+F56/E56</f>
        <v>0</v>
      </c>
      <c r="H56" s="164">
        <v>9120</v>
      </c>
      <c r="I56" s="77" t="s">
        <v>108</v>
      </c>
      <c r="J56" s="69"/>
      <c r="K56" s="188">
        <v>233479252</v>
      </c>
      <c r="L56" s="75">
        <v>258091886</v>
      </c>
      <c r="M56" s="75">
        <f>+K56-L56</f>
        <v>-24612634</v>
      </c>
      <c r="N56" s="113">
        <f t="shared" ref="N56:N60" si="20">+M56/L56</f>
        <v>-9.536384262773763E-2</v>
      </c>
      <c r="O56" s="12"/>
      <c r="Q56" s="12"/>
      <c r="R56" s="11"/>
      <c r="S56" s="11"/>
    </row>
    <row r="57" spans="1:26" s="2" customFormat="1" ht="24" customHeight="1" x14ac:dyDescent="0.2">
      <c r="A57" s="114">
        <v>8190</v>
      </c>
      <c r="B57" s="77" t="s">
        <v>109</v>
      </c>
      <c r="C57" s="69"/>
      <c r="D57" s="188">
        <v>608851963.27999997</v>
      </c>
      <c r="E57" s="75">
        <v>1117305517.28</v>
      </c>
      <c r="F57" s="75">
        <f>+D57-E57</f>
        <v>-508453554</v>
      </c>
      <c r="G57" s="161">
        <f>+F57/E57</f>
        <v>-0.45507119237878074</v>
      </c>
      <c r="H57" s="164">
        <v>9128</v>
      </c>
      <c r="I57" s="77" t="s">
        <v>112</v>
      </c>
      <c r="J57" s="69"/>
      <c r="K57" s="188">
        <v>320950061.35000002</v>
      </c>
      <c r="L57" s="75">
        <v>781853198.13</v>
      </c>
      <c r="M57" s="75">
        <f>+K57-L57</f>
        <v>-460903136.77999997</v>
      </c>
      <c r="N57" s="113">
        <f t="shared" si="20"/>
        <v>-0.58950086522938905</v>
      </c>
      <c r="P57" s="12">
        <f>+D53-K53</f>
        <v>-48373425933.399963</v>
      </c>
    </row>
    <row r="58" spans="1:26" s="2" customFormat="1" ht="22.5" x14ac:dyDescent="0.2">
      <c r="A58" s="115"/>
      <c r="B58" s="91"/>
      <c r="C58" s="69"/>
      <c r="D58" s="79"/>
      <c r="E58" s="79"/>
      <c r="F58" s="79"/>
      <c r="G58" s="149"/>
      <c r="H58" s="164">
        <v>9190</v>
      </c>
      <c r="I58" s="77" t="s">
        <v>166</v>
      </c>
      <c r="J58" s="69"/>
      <c r="K58" s="188">
        <v>3978246361</v>
      </c>
      <c r="L58" s="75">
        <v>3696048894</v>
      </c>
      <c r="M58" s="75">
        <f>+K58-L58</f>
        <v>282197467</v>
      </c>
      <c r="N58" s="116">
        <f t="shared" si="20"/>
        <v>7.6351118476302285E-2</v>
      </c>
    </row>
    <row r="59" spans="1:26" s="2" customFormat="1" ht="20.25" customHeight="1" x14ac:dyDescent="0.2">
      <c r="A59" s="115"/>
      <c r="B59" s="91"/>
      <c r="C59" s="69"/>
      <c r="D59" s="79"/>
      <c r="E59" s="79"/>
      <c r="F59" s="79"/>
      <c r="G59" s="149"/>
      <c r="H59" s="169">
        <v>93</v>
      </c>
      <c r="I59" s="45" t="s">
        <v>177</v>
      </c>
      <c r="J59" s="44"/>
      <c r="K59" s="76">
        <f>SUM(K60)</f>
        <v>289211704.18000001</v>
      </c>
      <c r="L59" s="76">
        <f>SUM(L60)</f>
        <v>228810264.18000001</v>
      </c>
      <c r="M59" s="76">
        <f>SUM(M60)</f>
        <v>60401440</v>
      </c>
      <c r="N59" s="112">
        <f>+M59/L59</f>
        <v>0.26398046528403774</v>
      </c>
    </row>
    <row r="60" spans="1:26" s="2" customFormat="1" ht="21" customHeight="1" x14ac:dyDescent="0.2">
      <c r="A60" s="115"/>
      <c r="B60" s="91"/>
      <c r="C60" s="69"/>
      <c r="D60" s="79"/>
      <c r="E60" s="79"/>
      <c r="F60" s="79"/>
      <c r="G60" s="149"/>
      <c r="H60" s="164">
        <v>9308</v>
      </c>
      <c r="I60" s="77" t="s">
        <v>178</v>
      </c>
      <c r="J60" s="69"/>
      <c r="K60" s="188">
        <v>289211704.18000001</v>
      </c>
      <c r="L60" s="75">
        <v>228810264.18000001</v>
      </c>
      <c r="M60" s="75">
        <f>+K60-L60</f>
        <v>60401440</v>
      </c>
      <c r="N60" s="113">
        <f t="shared" si="20"/>
        <v>0.26398046528403774</v>
      </c>
    </row>
    <row r="61" spans="1:26" s="2" customFormat="1" ht="33" customHeight="1" x14ac:dyDescent="0.2">
      <c r="A61" s="115">
        <v>89</v>
      </c>
      <c r="B61" s="45" t="s">
        <v>164</v>
      </c>
      <c r="C61" s="44"/>
      <c r="D61" s="76">
        <f>SUM(D62:D63)</f>
        <v>-622396705.27999997</v>
      </c>
      <c r="E61" s="76">
        <f>SUM(E62:E63)</f>
        <v>-1130850259.28</v>
      </c>
      <c r="F61" s="76">
        <f>SUM(F62:F63)</f>
        <v>508453554</v>
      </c>
      <c r="G61" s="163">
        <f>+F61/E61</f>
        <v>-0.44962058400528365</v>
      </c>
      <c r="H61" s="165">
        <v>99</v>
      </c>
      <c r="I61" s="91" t="s">
        <v>163</v>
      </c>
      <c r="J61" s="44"/>
      <c r="K61" s="79">
        <f>SUM(K62:K63)</f>
        <v>-4821887378.5300007</v>
      </c>
      <c r="L61" s="79">
        <f>SUM(L62:L63)</f>
        <v>-4964804242.3100004</v>
      </c>
      <c r="M61" s="79">
        <f>SUM(M62:M63)</f>
        <v>142916863.77999973</v>
      </c>
      <c r="N61" s="170">
        <f>+M61/L61</f>
        <v>-2.8786001784735837E-2</v>
      </c>
    </row>
    <row r="62" spans="1:26" s="2" customFormat="1" ht="22.5" x14ac:dyDescent="0.2">
      <c r="A62" s="114">
        <v>8905</v>
      </c>
      <c r="B62" s="77" t="s">
        <v>110</v>
      </c>
      <c r="C62" s="44"/>
      <c r="D62" s="188">
        <v>-622396705.27999997</v>
      </c>
      <c r="E62" s="188">
        <v>-1130850259.28</v>
      </c>
      <c r="F62" s="75">
        <f>+D62-E62</f>
        <v>508453554</v>
      </c>
      <c r="G62" s="171">
        <f>+F62/E62</f>
        <v>-0.44962058400528365</v>
      </c>
      <c r="H62" s="50">
        <v>9905</v>
      </c>
      <c r="I62" s="77" t="s">
        <v>168</v>
      </c>
      <c r="J62" s="44"/>
      <c r="K62" s="188">
        <v>-4532675674.3500004</v>
      </c>
      <c r="L62" s="75">
        <v>-4735993978.1300001</v>
      </c>
      <c r="M62" s="75">
        <f>+K62-L62</f>
        <v>203318303.77999973</v>
      </c>
      <c r="N62" s="116">
        <f t="shared" ref="N62:N63" si="21">+M62/L62</f>
        <v>-4.2930439675153399E-2</v>
      </c>
      <c r="V62" s="82"/>
    </row>
    <row r="63" spans="1:26" s="2" customFormat="1" ht="22.5" x14ac:dyDescent="0.2">
      <c r="A63" s="114"/>
      <c r="B63" s="77"/>
      <c r="C63" s="69"/>
      <c r="D63" s="80"/>
      <c r="E63" s="80"/>
      <c r="F63" s="75"/>
      <c r="G63" s="172"/>
      <c r="H63" s="50">
        <v>9915</v>
      </c>
      <c r="I63" s="77" t="s">
        <v>171</v>
      </c>
      <c r="J63" s="69"/>
      <c r="K63" s="188">
        <v>-289211704.18000001</v>
      </c>
      <c r="L63" s="188">
        <v>-228810264.18000001</v>
      </c>
      <c r="M63" s="75">
        <f>+K63-L63</f>
        <v>-60401440</v>
      </c>
      <c r="N63" s="116">
        <f t="shared" si="21"/>
        <v>0.26398046528403774</v>
      </c>
      <c r="U63" s="82"/>
      <c r="V63" s="82"/>
    </row>
    <row r="64" spans="1:26" x14ac:dyDescent="0.2">
      <c r="A64" s="114"/>
      <c r="B64" s="77"/>
      <c r="C64" s="69"/>
      <c r="D64" s="80"/>
      <c r="E64" s="80"/>
      <c r="F64" s="75"/>
      <c r="G64" s="162"/>
      <c r="H64" s="50"/>
      <c r="I64" s="77"/>
      <c r="J64" s="69"/>
      <c r="K64" s="80"/>
      <c r="L64" s="80"/>
      <c r="M64" s="75"/>
      <c r="N64" s="116"/>
      <c r="O64" s="2"/>
      <c r="P64" s="2"/>
      <c r="Q64" s="2"/>
      <c r="R64" s="2"/>
      <c r="S64" s="2"/>
      <c r="T64" s="2"/>
    </row>
    <row r="65" spans="1:20" ht="42.75" customHeight="1" x14ac:dyDescent="0.2">
      <c r="A65" s="231" t="s">
        <v>192</v>
      </c>
      <c r="B65" s="232"/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3"/>
      <c r="O65" s="2"/>
      <c r="P65" s="2"/>
      <c r="Q65" s="2"/>
      <c r="R65" s="2"/>
      <c r="S65" s="2"/>
      <c r="T65" s="2"/>
    </row>
    <row r="66" spans="1:20" ht="24" customHeight="1" x14ac:dyDescent="0.2">
      <c r="A66" s="104"/>
      <c r="B66" s="6"/>
      <c r="C66" s="71"/>
      <c r="D66" s="22"/>
      <c r="E66" s="5"/>
      <c r="F66" s="5"/>
      <c r="G66" s="5"/>
      <c r="H66" s="6"/>
      <c r="I66" s="22"/>
      <c r="J66" s="73"/>
      <c r="K66" s="22"/>
      <c r="L66" s="5"/>
      <c r="M66" s="5"/>
      <c r="N66" s="119"/>
    </row>
    <row r="67" spans="1:20" ht="28.5" customHeight="1" x14ac:dyDescent="0.2">
      <c r="A67" s="104"/>
      <c r="B67" s="6"/>
      <c r="C67" s="71"/>
      <c r="D67" s="22"/>
      <c r="E67" s="5"/>
      <c r="F67" s="5"/>
      <c r="G67" s="5"/>
      <c r="H67" s="6"/>
      <c r="I67" s="6"/>
      <c r="J67" s="71"/>
      <c r="K67" s="22"/>
      <c r="L67" s="5"/>
      <c r="M67" s="5"/>
      <c r="N67" s="119"/>
    </row>
    <row r="68" spans="1:20" x14ac:dyDescent="0.2">
      <c r="A68" s="236" t="s">
        <v>189</v>
      </c>
      <c r="B68" s="237"/>
      <c r="C68" s="237"/>
      <c r="D68" s="237"/>
      <c r="E68" s="195" t="s">
        <v>66</v>
      </c>
      <c r="F68" s="18"/>
      <c r="G68" s="18"/>
      <c r="H68" s="7"/>
      <c r="I68" s="7"/>
      <c r="J68" s="67"/>
      <c r="K68" s="83" t="s">
        <v>172</v>
      </c>
      <c r="L68" s="18"/>
      <c r="M68" s="5"/>
      <c r="N68" s="119"/>
    </row>
    <row r="69" spans="1:20" x14ac:dyDescent="0.2">
      <c r="A69" s="238" t="s">
        <v>188</v>
      </c>
      <c r="B69" s="234"/>
      <c r="C69" s="234"/>
      <c r="D69" s="234"/>
      <c r="E69" s="234" t="s">
        <v>67</v>
      </c>
      <c r="F69" s="234"/>
      <c r="G69" s="234"/>
      <c r="H69" s="234"/>
      <c r="I69" s="194"/>
      <c r="J69" s="194"/>
      <c r="K69" s="83" t="s">
        <v>29</v>
      </c>
      <c r="L69" s="92"/>
      <c r="M69" s="93"/>
      <c r="N69" s="120"/>
    </row>
    <row r="70" spans="1:20" x14ac:dyDescent="0.2">
      <c r="A70" s="239" t="s">
        <v>190</v>
      </c>
      <c r="B70" s="240"/>
      <c r="C70" s="240"/>
      <c r="D70" s="240"/>
      <c r="E70" s="235" t="s">
        <v>113</v>
      </c>
      <c r="F70" s="235"/>
      <c r="G70" s="235"/>
      <c r="H70" s="235"/>
      <c r="I70" s="7"/>
      <c r="J70" s="192"/>
      <c r="K70" s="193" t="s">
        <v>114</v>
      </c>
      <c r="L70" s="92"/>
      <c r="M70" s="93"/>
      <c r="N70" s="120"/>
    </row>
    <row r="71" spans="1:20" ht="13.5" thickBot="1" x14ac:dyDescent="0.25">
      <c r="A71" s="229"/>
      <c r="B71" s="230"/>
      <c r="C71" s="191"/>
      <c r="D71" s="121"/>
      <c r="E71" s="191"/>
      <c r="F71" s="191"/>
      <c r="G71" s="191"/>
      <c r="H71" s="191"/>
      <c r="I71" s="191"/>
      <c r="J71" s="191"/>
      <c r="K71" s="154" t="s">
        <v>115</v>
      </c>
      <c r="L71" s="122"/>
      <c r="M71" s="123"/>
      <c r="N71" s="124"/>
    </row>
    <row r="75" spans="1:20" ht="13.5" thickBot="1" x14ac:dyDescent="0.25">
      <c r="A75" s="82">
        <v>1</v>
      </c>
      <c r="B75" s="25" t="s">
        <v>30</v>
      </c>
      <c r="C75" s="25"/>
      <c r="D75" s="19">
        <v>2024</v>
      </c>
      <c r="E75" s="19">
        <v>2023</v>
      </c>
      <c r="K75" s="37" t="s">
        <v>175</v>
      </c>
    </row>
    <row r="77" spans="1:20" x14ac:dyDescent="0.2">
      <c r="A77" s="82">
        <v>1.1000000000000001</v>
      </c>
      <c r="B77" s="3" t="s">
        <v>31</v>
      </c>
      <c r="C77" s="8"/>
      <c r="D77" s="14">
        <f>+D9-K9</f>
        <v>213155670018.87</v>
      </c>
      <c r="E77" s="14">
        <f>+E9-L9</f>
        <v>203478297943.76999</v>
      </c>
      <c r="F77" s="17" t="s">
        <v>32</v>
      </c>
      <c r="I77" s="14">
        <f>+D77-E77</f>
        <v>9677372075.1000061</v>
      </c>
      <c r="J77" s="74"/>
      <c r="K77" s="112">
        <f>+I77/E77</f>
        <v>4.7559725891624521E-2</v>
      </c>
    </row>
    <row r="78" spans="1:20" hidden="1" x14ac:dyDescent="0.2">
      <c r="A78" s="82">
        <v>1.2</v>
      </c>
      <c r="B78" s="3" t="s">
        <v>33</v>
      </c>
      <c r="C78" s="8"/>
      <c r="D78" s="14">
        <f>+D9/K9</f>
        <v>12.257187978654621</v>
      </c>
      <c r="E78" s="14">
        <f>+E9/L9</f>
        <v>10.305272393932508</v>
      </c>
      <c r="F78" s="17" t="s">
        <v>34</v>
      </c>
      <c r="I78" s="14">
        <f>+D78-E78</f>
        <v>1.9519155847221121</v>
      </c>
      <c r="J78" s="74"/>
      <c r="K78" s="112">
        <f>+I78/E78</f>
        <v>0.18940941200849307</v>
      </c>
    </row>
    <row r="80" spans="1:20" x14ac:dyDescent="0.2">
      <c r="A80" s="82">
        <v>2</v>
      </c>
      <c r="B80" s="3" t="s">
        <v>35</v>
      </c>
      <c r="C80" s="8"/>
      <c r="D80" s="14">
        <f>+K40/D53*100</f>
        <v>3.7165483409267437</v>
      </c>
      <c r="E80" s="14">
        <f>+L40/E53*100</f>
        <v>4.331749264231715</v>
      </c>
      <c r="F80" s="17" t="s">
        <v>36</v>
      </c>
      <c r="I80" s="14">
        <f>+D80-E80</f>
        <v>-0.61520092330497134</v>
      </c>
      <c r="J80" s="74"/>
      <c r="K80" s="112">
        <f>+I80/E80</f>
        <v>-0.14202136037393295</v>
      </c>
    </row>
    <row r="82" spans="2:14" x14ac:dyDescent="0.2">
      <c r="B82" s="25"/>
      <c r="C82" s="25"/>
      <c r="D82" s="17" t="e">
        <f>+D9-#REF!</f>
        <v>#REF!</v>
      </c>
      <c r="E82" s="17"/>
      <c r="F82" s="18"/>
      <c r="G82" s="10"/>
      <c r="H82" s="26"/>
      <c r="I82" s="81"/>
      <c r="K82" s="9"/>
      <c r="L82" s="227"/>
      <c r="M82" s="227"/>
      <c r="N82" s="227"/>
    </row>
    <row r="83" spans="2:14" x14ac:dyDescent="0.2">
      <c r="D83" s="14" t="e">
        <f>+D82/K9</f>
        <v>#REF!</v>
      </c>
    </row>
    <row r="85" spans="2:14" x14ac:dyDescent="0.2">
      <c r="I85" s="14"/>
      <c r="J85" s="74"/>
    </row>
  </sheetData>
  <mergeCells count="23">
    <mergeCell ref="P6:Q6"/>
    <mergeCell ref="R6:S6"/>
    <mergeCell ref="L82:N82"/>
    <mergeCell ref="A68:D68"/>
    <mergeCell ref="A69:D69"/>
    <mergeCell ref="E69:H69"/>
    <mergeCell ref="A70:D70"/>
    <mergeCell ref="E70:H70"/>
    <mergeCell ref="A71:B71"/>
    <mergeCell ref="A65:N65"/>
    <mergeCell ref="A6:A7"/>
    <mergeCell ref="B6:B7"/>
    <mergeCell ref="C6:C7"/>
    <mergeCell ref="G6:G7"/>
    <mergeCell ref="H6:H7"/>
    <mergeCell ref="I6:I7"/>
    <mergeCell ref="J6:J7"/>
    <mergeCell ref="N6:N7"/>
    <mergeCell ref="A1:N1"/>
    <mergeCell ref="A2:N2"/>
    <mergeCell ref="A3:N3"/>
    <mergeCell ref="A4:N4"/>
    <mergeCell ref="A5:N5"/>
  </mergeCells>
  <printOptions horizontalCentered="1"/>
  <pageMargins left="0.35433070866141736" right="0" top="0.39370078740157483" bottom="0.39370078740157483" header="0" footer="0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EC2DD-23F2-4022-A67B-F775A35719DF}">
  <dimension ref="A1:AD85"/>
  <sheetViews>
    <sheetView zoomScale="95" zoomScaleNormal="95" workbookViewId="0">
      <selection activeCell="D28" sqref="D28"/>
    </sheetView>
  </sheetViews>
  <sheetFormatPr baseColWidth="10" defaultColWidth="11.42578125" defaultRowHeight="12.75" x14ac:dyDescent="0.2"/>
  <cols>
    <col min="1" max="1" width="5.140625" style="82" customWidth="1"/>
    <col min="2" max="2" width="25.42578125" style="82" customWidth="1"/>
    <col min="3" max="3" width="1.140625" style="72" customWidth="1"/>
    <col min="4" max="4" width="17.85546875" style="14" customWidth="1"/>
    <col min="5" max="5" width="18.28515625" style="14" customWidth="1"/>
    <col min="6" max="6" width="17.7109375" style="14" hidden="1" customWidth="1"/>
    <col min="7" max="7" width="10.85546875" style="14" customWidth="1"/>
    <col min="8" max="8" width="4.42578125" style="82" bestFit="1" customWidth="1"/>
    <col min="9" max="9" width="22.28515625" style="82" customWidth="1"/>
    <col min="10" max="10" width="2" style="72" customWidth="1"/>
    <col min="11" max="11" width="14.42578125" style="21" customWidth="1"/>
    <col min="12" max="12" width="13.85546875" style="14" customWidth="1"/>
    <col min="13" max="13" width="13.85546875" style="14" hidden="1" customWidth="1"/>
    <col min="14" max="14" width="7.42578125" style="82" customWidth="1"/>
    <col min="15" max="15" width="6.140625" style="82" hidden="1" customWidth="1"/>
    <col min="16" max="17" width="6.5703125" style="82" hidden="1" customWidth="1"/>
    <col min="18" max="18" width="7.85546875" style="82" hidden="1" customWidth="1"/>
    <col min="19" max="19" width="7" style="82" hidden="1" customWidth="1"/>
    <col min="20" max="22" width="11.42578125" style="82" hidden="1" customWidth="1"/>
    <col min="23" max="23" width="7.85546875" style="82" customWidth="1"/>
    <col min="24" max="24" width="4.85546875" style="82" customWidth="1"/>
    <col min="25" max="16384" width="11.42578125" style="82"/>
  </cols>
  <sheetData>
    <row r="1" spans="1:25" s="1" customFormat="1" ht="18" x14ac:dyDescent="0.25">
      <c r="A1" s="212" t="s">
        <v>174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</row>
    <row r="2" spans="1:25" s="1" customFormat="1" ht="18" x14ac:dyDescent="0.25">
      <c r="A2" s="215" t="s">
        <v>167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7"/>
    </row>
    <row r="3" spans="1:25" s="1" customFormat="1" ht="18" x14ac:dyDescent="0.25">
      <c r="A3" s="215" t="s">
        <v>173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7"/>
    </row>
    <row r="4" spans="1:25" s="1" customFormat="1" ht="18" x14ac:dyDescent="0.25">
      <c r="A4" s="215" t="s">
        <v>195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7"/>
    </row>
    <row r="5" spans="1:25" s="1" customFormat="1" ht="18" x14ac:dyDescent="0.25">
      <c r="A5" s="218" t="s">
        <v>68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20"/>
    </row>
    <row r="6" spans="1:25" s="2" customFormat="1" ht="14.25" customHeight="1" x14ac:dyDescent="0.2">
      <c r="A6" s="221" t="s">
        <v>0</v>
      </c>
      <c r="B6" s="222" t="s">
        <v>38</v>
      </c>
      <c r="C6" s="222"/>
      <c r="D6" s="94">
        <v>2024</v>
      </c>
      <c r="E6" s="94">
        <v>2024</v>
      </c>
      <c r="F6" s="44" t="s">
        <v>2</v>
      </c>
      <c r="G6" s="223" t="s">
        <v>151</v>
      </c>
      <c r="H6" s="224" t="s">
        <v>0</v>
      </c>
      <c r="I6" s="222" t="s">
        <v>38</v>
      </c>
      <c r="J6" s="222"/>
      <c r="K6" s="94">
        <v>2024</v>
      </c>
      <c r="L6" s="94">
        <v>2024</v>
      </c>
      <c r="M6" s="44" t="s">
        <v>2</v>
      </c>
      <c r="N6" s="225" t="s">
        <v>151</v>
      </c>
      <c r="P6" s="228" t="s">
        <v>1</v>
      </c>
      <c r="Q6" s="228"/>
      <c r="R6" s="228" t="s">
        <v>4</v>
      </c>
      <c r="S6" s="228"/>
    </row>
    <row r="7" spans="1:25" s="2" customFormat="1" ht="12" customHeight="1" x14ac:dyDescent="0.2">
      <c r="A7" s="221"/>
      <c r="B7" s="222"/>
      <c r="C7" s="222"/>
      <c r="D7" s="94" t="s">
        <v>181</v>
      </c>
      <c r="E7" s="94" t="s">
        <v>182</v>
      </c>
      <c r="F7" s="44" t="s">
        <v>5</v>
      </c>
      <c r="G7" s="223"/>
      <c r="H7" s="224"/>
      <c r="I7" s="222"/>
      <c r="J7" s="222"/>
      <c r="K7" s="94" t="s">
        <v>181</v>
      </c>
      <c r="L7" s="94" t="s">
        <v>182</v>
      </c>
      <c r="M7" s="44" t="s">
        <v>5</v>
      </c>
      <c r="N7" s="225"/>
    </row>
    <row r="8" spans="1:25" s="2" customFormat="1" ht="15.75" customHeight="1" x14ac:dyDescent="0.2">
      <c r="A8" s="110"/>
      <c r="B8" s="186" t="s">
        <v>1</v>
      </c>
      <c r="C8" s="44"/>
      <c r="D8" s="90"/>
      <c r="E8" s="90"/>
      <c r="F8" s="90"/>
      <c r="G8" s="125"/>
      <c r="H8" s="42"/>
      <c r="I8" s="186" t="s">
        <v>3</v>
      </c>
      <c r="J8" s="44"/>
      <c r="K8" s="20"/>
      <c r="L8" s="43"/>
      <c r="M8" s="43"/>
      <c r="N8" s="111"/>
    </row>
    <row r="9" spans="1:25" s="2" customFormat="1" ht="21.75" customHeight="1" x14ac:dyDescent="0.2">
      <c r="A9" s="110"/>
      <c r="B9" s="41" t="s">
        <v>69</v>
      </c>
      <c r="C9" s="44"/>
      <c r="D9" s="128">
        <f>+D10+D15+D21+D25</f>
        <v>257351040102.69995</v>
      </c>
      <c r="E9" s="128">
        <f t="shared" ref="E9:F9" si="0">+E10+E15+E21+E25</f>
        <v>232090742474.17999</v>
      </c>
      <c r="F9" s="128">
        <f t="shared" si="0"/>
        <v>25260297628.519993</v>
      </c>
      <c r="G9" s="129">
        <f t="shared" ref="G9:G26" si="1">+F9/E9</f>
        <v>0.10883802326294936</v>
      </c>
      <c r="H9" s="42"/>
      <c r="I9" s="41" t="s">
        <v>93</v>
      </c>
      <c r="J9" s="44"/>
      <c r="K9" s="128">
        <f>+K10+K19+K22+K25</f>
        <v>33133419844.900002</v>
      </c>
      <c r="L9" s="128">
        <f t="shared" ref="L9:M9" si="2">+L10+L19+L22+L25</f>
        <v>18935072455.310001</v>
      </c>
      <c r="M9" s="128">
        <f t="shared" si="2"/>
        <v>14198347389.59</v>
      </c>
      <c r="N9" s="130">
        <f>+M9/L9</f>
        <v>0.74984383730775361</v>
      </c>
      <c r="P9" s="33">
        <f>+D9/D9*100</f>
        <v>100</v>
      </c>
      <c r="Q9" s="40">
        <f>+D9/D53*100</f>
        <v>46.97428836331207</v>
      </c>
    </row>
    <row r="10" spans="1:25" s="2" customFormat="1" ht="26.25" customHeight="1" x14ac:dyDescent="0.2">
      <c r="A10" s="115">
        <v>11</v>
      </c>
      <c r="B10" s="141" t="s">
        <v>70</v>
      </c>
      <c r="C10" s="44"/>
      <c r="D10" s="76">
        <f>SUM(D11:D13)</f>
        <v>240503486800.10999</v>
      </c>
      <c r="E10" s="76">
        <f>SUM(E11:E13)</f>
        <v>220871319732.69</v>
      </c>
      <c r="F10" s="76">
        <f>SUM(F11:F13)</f>
        <v>19632167067.419994</v>
      </c>
      <c r="G10" s="126">
        <f t="shared" si="1"/>
        <v>8.8885089703723719E-2</v>
      </c>
      <c r="H10" s="46">
        <v>24</v>
      </c>
      <c r="I10" s="45" t="s">
        <v>94</v>
      </c>
      <c r="J10" s="44"/>
      <c r="K10" s="76">
        <f>SUM(K11:K17)</f>
        <v>4135259436.2800002</v>
      </c>
      <c r="L10" s="76">
        <f t="shared" ref="L10:M10" si="3">SUM(L11:L17)</f>
        <v>3020941241.4100003</v>
      </c>
      <c r="M10" s="76">
        <f t="shared" si="3"/>
        <v>1114318194.8699999</v>
      </c>
      <c r="N10" s="112">
        <f t="shared" ref="N10:N14" si="4">+M10/L10</f>
        <v>0.36886457094739805</v>
      </c>
    </row>
    <row r="11" spans="1:25" s="2" customFormat="1" ht="24.75" customHeight="1" x14ac:dyDescent="0.2">
      <c r="A11" s="110">
        <v>1105</v>
      </c>
      <c r="B11" s="77" t="s">
        <v>176</v>
      </c>
      <c r="C11" s="69"/>
      <c r="D11" s="188">
        <v>651207897</v>
      </c>
      <c r="E11" s="188">
        <v>651207897</v>
      </c>
      <c r="F11" s="75">
        <f>+D11-E11</f>
        <v>0</v>
      </c>
      <c r="G11" s="127">
        <f t="shared" si="1"/>
        <v>0</v>
      </c>
      <c r="H11" s="47">
        <v>2401</v>
      </c>
      <c r="I11" s="77" t="s">
        <v>95</v>
      </c>
      <c r="J11" s="69"/>
      <c r="K11" s="188">
        <v>2180798048.79</v>
      </c>
      <c r="L11" s="188">
        <v>488728785.29000002</v>
      </c>
      <c r="M11" s="75">
        <f>+K11-L11</f>
        <v>1692069263.5</v>
      </c>
      <c r="N11" s="113">
        <f t="shared" si="4"/>
        <v>3.4621845784998451</v>
      </c>
    </row>
    <row r="12" spans="1:25" s="2" customFormat="1" ht="26.25" customHeight="1" x14ac:dyDescent="0.2">
      <c r="A12" s="110">
        <v>1110</v>
      </c>
      <c r="B12" s="77" t="s">
        <v>71</v>
      </c>
      <c r="C12" s="69"/>
      <c r="D12" s="188">
        <v>239554196032.82999</v>
      </c>
      <c r="E12" s="188">
        <v>220006982503.39999</v>
      </c>
      <c r="F12" s="75">
        <f>+D12-E12</f>
        <v>19547213529.429993</v>
      </c>
      <c r="G12" s="127">
        <f t="shared" si="1"/>
        <v>8.8848150667799414E-2</v>
      </c>
      <c r="H12" s="47">
        <v>2407</v>
      </c>
      <c r="I12" s="77" t="s">
        <v>96</v>
      </c>
      <c r="J12" s="69"/>
      <c r="K12" s="188">
        <v>31734116</v>
      </c>
      <c r="L12" s="188">
        <v>17320125</v>
      </c>
      <c r="M12" s="75">
        <f t="shared" ref="M12:M17" si="5">+K12-L12</f>
        <v>14413991</v>
      </c>
      <c r="N12" s="113">
        <f t="shared" si="4"/>
        <v>0.83221056430019991</v>
      </c>
      <c r="P12" s="11">
        <f>+D10/$D$9*100</f>
        <v>93.453473785897003</v>
      </c>
      <c r="S12" s="11">
        <f>+K10/$K$35*100</f>
        <v>769.02403729056891</v>
      </c>
    </row>
    <row r="13" spans="1:25" s="2" customFormat="1" ht="18" customHeight="1" x14ac:dyDescent="0.2">
      <c r="A13" s="110">
        <v>1133</v>
      </c>
      <c r="B13" s="42" t="s">
        <v>72</v>
      </c>
      <c r="C13" s="69"/>
      <c r="D13" s="188">
        <v>298082870.27999997</v>
      </c>
      <c r="E13" s="188">
        <v>213129332.28999999</v>
      </c>
      <c r="F13" s="75">
        <f>+D13-E13</f>
        <v>84953537.98999998</v>
      </c>
      <c r="G13" s="127">
        <f t="shared" si="1"/>
        <v>0.3986008733626854</v>
      </c>
      <c r="H13" s="47">
        <v>2424</v>
      </c>
      <c r="I13" s="77" t="s">
        <v>97</v>
      </c>
      <c r="J13" s="69"/>
      <c r="K13" s="188">
        <v>1298434960.76</v>
      </c>
      <c r="L13" s="188">
        <v>1566706939.76</v>
      </c>
      <c r="M13" s="75">
        <f t="shared" si="5"/>
        <v>-268271979</v>
      </c>
      <c r="N13" s="113">
        <f t="shared" si="4"/>
        <v>-0.1712330316485966</v>
      </c>
      <c r="P13" s="11">
        <f>+D18/$D$9*100</f>
        <v>0.23865568437372578</v>
      </c>
      <c r="R13" s="11">
        <f>+K11/$K$10*100</f>
        <v>52.736668216197913</v>
      </c>
      <c r="S13" s="11"/>
    </row>
    <row r="14" spans="1:25" s="2" customFormat="1" ht="28.15" customHeight="1" x14ac:dyDescent="0.2">
      <c r="A14" s="115"/>
      <c r="B14" s="141"/>
      <c r="C14" s="69"/>
      <c r="D14" s="76"/>
      <c r="E14" s="76"/>
      <c r="F14" s="76"/>
      <c r="G14" s="126"/>
      <c r="H14" s="47">
        <v>2436</v>
      </c>
      <c r="I14" s="77" t="s">
        <v>98</v>
      </c>
      <c r="J14" s="69"/>
      <c r="K14" s="188">
        <v>151840986</v>
      </c>
      <c r="L14" s="188">
        <v>242197314</v>
      </c>
      <c r="M14" s="75">
        <f t="shared" si="5"/>
        <v>-90356328</v>
      </c>
      <c r="N14" s="113">
        <f t="shared" si="4"/>
        <v>-0.37306907540683959</v>
      </c>
      <c r="P14" s="11"/>
      <c r="R14" s="11"/>
      <c r="S14" s="11"/>
      <c r="Y14" s="12"/>
    </row>
    <row r="15" spans="1:25" s="2" customFormat="1" ht="36" customHeight="1" x14ac:dyDescent="0.2">
      <c r="A15" s="115">
        <v>13</v>
      </c>
      <c r="B15" s="45" t="s">
        <v>73</v>
      </c>
      <c r="C15" s="44"/>
      <c r="D15" s="76">
        <f>SUM(D16:D19)</f>
        <v>15422161447.9</v>
      </c>
      <c r="E15" s="76">
        <f>SUM(E16:E19)</f>
        <v>9449534165</v>
      </c>
      <c r="F15" s="76">
        <f>SUM(F16:F19)</f>
        <v>5972627282.8999996</v>
      </c>
      <c r="G15" s="126">
        <f t="shared" ref="G15:G17" si="6">+F15/E15</f>
        <v>0.63205520807807991</v>
      </c>
      <c r="H15" s="47">
        <v>2440</v>
      </c>
      <c r="I15" s="77" t="s">
        <v>99</v>
      </c>
      <c r="J15" s="69"/>
      <c r="K15" s="188">
        <v>37426499</v>
      </c>
      <c r="L15" s="188">
        <v>34624679</v>
      </c>
      <c r="M15" s="75">
        <f t="shared" si="5"/>
        <v>2801820</v>
      </c>
      <c r="N15" s="113">
        <f>+M15/L15</f>
        <v>8.0919739357006026E-2</v>
      </c>
      <c r="P15" s="11"/>
      <c r="R15" s="11">
        <f>+K12/$K$10*100</f>
        <v>0.76740326668711745</v>
      </c>
      <c r="S15" s="11"/>
    </row>
    <row r="16" spans="1:25" s="2" customFormat="1" ht="20.25" customHeight="1" x14ac:dyDescent="0.2">
      <c r="A16" s="114">
        <v>1316</v>
      </c>
      <c r="B16" s="77" t="s">
        <v>7</v>
      </c>
      <c r="C16" s="69"/>
      <c r="D16" s="188">
        <v>914500</v>
      </c>
      <c r="E16" s="188">
        <v>622000</v>
      </c>
      <c r="F16" s="75">
        <f t="shared" ref="F16:F17" si="7">+D16-E16</f>
        <v>292500</v>
      </c>
      <c r="G16" s="127">
        <f t="shared" si="6"/>
        <v>0.47025723472668812</v>
      </c>
      <c r="H16" s="42">
        <v>2460</v>
      </c>
      <c r="I16" s="42" t="s">
        <v>194</v>
      </c>
      <c r="J16" s="69"/>
      <c r="K16" s="188">
        <v>1069058</v>
      </c>
      <c r="L16" s="75">
        <v>0</v>
      </c>
      <c r="M16" s="75">
        <f t="shared" si="5"/>
        <v>1069058</v>
      </c>
      <c r="N16" s="116" t="s">
        <v>6</v>
      </c>
      <c r="P16" s="11">
        <f>+D20/$D$9*100</f>
        <v>0</v>
      </c>
      <c r="R16" s="11">
        <f>+K13/$K$10*100</f>
        <v>31.399117292820861</v>
      </c>
      <c r="S16" s="11"/>
    </row>
    <row r="17" spans="1:30" s="2" customFormat="1" ht="20.25" customHeight="1" x14ac:dyDescent="0.2">
      <c r="A17" s="117">
        <v>1317</v>
      </c>
      <c r="B17" s="77" t="s">
        <v>74</v>
      </c>
      <c r="C17" s="69"/>
      <c r="D17" s="188">
        <v>14807064061.9</v>
      </c>
      <c r="E17" s="188">
        <v>9448399645</v>
      </c>
      <c r="F17" s="75">
        <f t="shared" si="7"/>
        <v>5358664416.8999996</v>
      </c>
      <c r="G17" s="127">
        <f t="shared" si="6"/>
        <v>0.56715048243495414</v>
      </c>
      <c r="H17" s="42">
        <v>2490</v>
      </c>
      <c r="I17" s="42" t="s">
        <v>100</v>
      </c>
      <c r="J17" s="69"/>
      <c r="K17" s="188">
        <v>433955767.73000002</v>
      </c>
      <c r="L17" s="188">
        <v>671363398.36000001</v>
      </c>
      <c r="M17" s="75">
        <f t="shared" si="5"/>
        <v>-237407630.63</v>
      </c>
      <c r="N17" s="113">
        <f t="shared" ref="N17" si="8">+M17/L17</f>
        <v>-0.35362015744369896</v>
      </c>
      <c r="P17" s="11" t="e">
        <f>+D22/$D$20*100</f>
        <v>#DIV/0!</v>
      </c>
      <c r="R17" s="11">
        <f>+K15/$K$10*100</f>
        <v>0.90505806411188927</v>
      </c>
      <c r="S17" s="11"/>
    </row>
    <row r="18" spans="1:30" s="2" customFormat="1" ht="21.75" customHeight="1" x14ac:dyDescent="0.2">
      <c r="A18" s="117">
        <v>1384</v>
      </c>
      <c r="B18" s="77" t="s">
        <v>75</v>
      </c>
      <c r="C18" s="69"/>
      <c r="D18" s="188">
        <v>614182886</v>
      </c>
      <c r="E18" s="188">
        <v>512520</v>
      </c>
      <c r="F18" s="75">
        <f t="shared" ref="F18" si="9">+D18-E18</f>
        <v>613670366</v>
      </c>
      <c r="G18" s="127">
        <f t="shared" ref="G18" si="10">+F18/E18</f>
        <v>1197.3588659954733</v>
      </c>
      <c r="H18" s="46"/>
      <c r="I18" s="141"/>
      <c r="J18" s="44"/>
      <c r="K18" s="76"/>
      <c r="L18" s="76"/>
      <c r="M18" s="76"/>
      <c r="N18" s="112"/>
      <c r="P18" s="11"/>
      <c r="R18" s="11">
        <f>+K16/$K$10*100</f>
        <v>2.5852259488746948E-2</v>
      </c>
      <c r="S18" s="11">
        <f>+K16/$K$35*100</f>
        <v>0.19881008965119598</v>
      </c>
    </row>
    <row r="19" spans="1:30" s="2" customFormat="1" ht="24" customHeight="1" x14ac:dyDescent="0.2">
      <c r="A19" s="117"/>
      <c r="B19" s="77"/>
      <c r="C19" s="69"/>
      <c r="D19" s="188"/>
      <c r="E19" s="188"/>
      <c r="F19" s="75"/>
      <c r="G19" s="127"/>
      <c r="H19" s="46">
        <v>25</v>
      </c>
      <c r="I19" s="141" t="s">
        <v>101</v>
      </c>
      <c r="J19" s="44"/>
      <c r="K19" s="76">
        <f>+K20</f>
        <v>16888806484.360001</v>
      </c>
      <c r="L19" s="76">
        <f>+L20</f>
        <v>12055551319.1</v>
      </c>
      <c r="M19" s="76">
        <f>+M20</f>
        <v>4833255165.2600002</v>
      </c>
      <c r="N19" s="112">
        <f>+M19/L19</f>
        <v>0.40091531588460144</v>
      </c>
      <c r="R19" s="11" t="e">
        <f>+#REF!/$K$10*100</f>
        <v>#REF!</v>
      </c>
      <c r="S19" s="11"/>
    </row>
    <row r="20" spans="1:30" s="2" customFormat="1" ht="20.25" customHeight="1" x14ac:dyDescent="0.2">
      <c r="A20" s="117"/>
      <c r="B20" s="77"/>
      <c r="C20" s="69"/>
      <c r="D20" s="188"/>
      <c r="E20" s="75"/>
      <c r="F20" s="75"/>
      <c r="G20" s="127"/>
      <c r="H20" s="49">
        <v>2511</v>
      </c>
      <c r="I20" s="77" t="s">
        <v>102</v>
      </c>
      <c r="J20" s="69"/>
      <c r="K20" s="188">
        <v>16888806484.360001</v>
      </c>
      <c r="L20" s="188">
        <v>12055551319.1</v>
      </c>
      <c r="M20" s="75">
        <f>+K20-L20</f>
        <v>4833255165.2600002</v>
      </c>
      <c r="N20" s="113">
        <f>+M20/L20</f>
        <v>0.40091531588460144</v>
      </c>
      <c r="S20" s="11"/>
      <c r="X20" s="47"/>
      <c r="Y20" s="12"/>
      <c r="AD20" s="127"/>
    </row>
    <row r="21" spans="1:30" s="2" customFormat="1" ht="18.75" customHeight="1" x14ac:dyDescent="0.2">
      <c r="A21" s="115">
        <v>15</v>
      </c>
      <c r="B21" s="45" t="s">
        <v>77</v>
      </c>
      <c r="C21" s="44"/>
      <c r="D21" s="76">
        <f>SUM(D22:D24)</f>
        <v>474747426.32999998</v>
      </c>
      <c r="E21" s="76">
        <f>SUM(E22:E24)</f>
        <v>713112832.96000004</v>
      </c>
      <c r="F21" s="76">
        <f>SUM(F22:F24)</f>
        <v>-238365406.62999997</v>
      </c>
      <c r="G21" s="126">
        <f t="shared" si="1"/>
        <v>-0.33426043623501916</v>
      </c>
      <c r="H21" s="46"/>
      <c r="I21" s="45"/>
      <c r="J21" s="44"/>
      <c r="K21" s="76"/>
      <c r="L21" s="76"/>
      <c r="M21" s="76"/>
      <c r="N21" s="112"/>
      <c r="P21" s="11" t="e">
        <f>+#REF!/$D$20*100</f>
        <v>#REF!</v>
      </c>
      <c r="Q21" s="11"/>
      <c r="R21" s="11"/>
      <c r="S21" s="11">
        <f>+K18/$K$35*100</f>
        <v>0</v>
      </c>
      <c r="X21" s="47"/>
      <c r="Y21" s="12"/>
      <c r="AD21" s="127"/>
    </row>
    <row r="22" spans="1:30" s="2" customFormat="1" ht="18" customHeight="1" x14ac:dyDescent="0.2">
      <c r="A22" s="117">
        <v>1510</v>
      </c>
      <c r="B22" s="77" t="s">
        <v>78</v>
      </c>
      <c r="C22" s="69"/>
      <c r="D22" s="188">
        <v>119700826.70999999</v>
      </c>
      <c r="E22" s="188">
        <v>128918098.73999999</v>
      </c>
      <c r="F22" s="75">
        <f>+D22-E22</f>
        <v>-9217272.0300000012</v>
      </c>
      <c r="G22" s="127">
        <f t="shared" si="1"/>
        <v>-7.1497114215043234E-2</v>
      </c>
      <c r="H22" s="46">
        <v>27</v>
      </c>
      <c r="I22" s="45" t="s">
        <v>103</v>
      </c>
      <c r="J22" s="44"/>
      <c r="K22" s="76">
        <f>SUM(K23:K24)</f>
        <v>176103477</v>
      </c>
      <c r="L22" s="76">
        <f>SUM(L23:L24)</f>
        <v>193170292</v>
      </c>
      <c r="M22" s="76">
        <f>SUM(M23:M24)</f>
        <v>-17066815</v>
      </c>
      <c r="N22" s="112">
        <f>+M22/L22</f>
        <v>-8.8351137347765674E-2</v>
      </c>
      <c r="P22" s="11" t="e">
        <f>+D23/$D$20*100</f>
        <v>#DIV/0!</v>
      </c>
      <c r="R22" s="11"/>
      <c r="S22" s="11"/>
    </row>
    <row r="23" spans="1:30" s="2" customFormat="1" ht="19.5" customHeight="1" x14ac:dyDescent="0.2">
      <c r="A23" s="117">
        <v>1514</v>
      </c>
      <c r="B23" s="77" t="s">
        <v>79</v>
      </c>
      <c r="C23" s="69"/>
      <c r="D23" s="188">
        <v>352398577.54000002</v>
      </c>
      <c r="E23" s="188">
        <v>581546712.13999999</v>
      </c>
      <c r="F23" s="75">
        <f>+D23-E23</f>
        <v>-229148134.59999996</v>
      </c>
      <c r="G23" s="127">
        <f t="shared" si="1"/>
        <v>-0.39403220724397364</v>
      </c>
      <c r="H23" s="47">
        <v>2701</v>
      </c>
      <c r="I23" s="77" t="s">
        <v>28</v>
      </c>
      <c r="J23" s="69"/>
      <c r="K23" s="188">
        <v>176103477</v>
      </c>
      <c r="L23" s="188">
        <v>193170292</v>
      </c>
      <c r="M23" s="75">
        <f>+K23-L23</f>
        <v>-17066815</v>
      </c>
      <c r="N23" s="113">
        <f>+M23/L23</f>
        <v>-8.8351137347765674E-2</v>
      </c>
      <c r="P23" s="11" t="e">
        <f>+D24/$D$20*100</f>
        <v>#DIV/0!</v>
      </c>
      <c r="R23" s="11"/>
      <c r="S23" s="11"/>
    </row>
    <row r="24" spans="1:30" s="2" customFormat="1" ht="20.25" customHeight="1" x14ac:dyDescent="0.2">
      <c r="A24" s="110">
        <v>1530</v>
      </c>
      <c r="B24" s="42" t="s">
        <v>9</v>
      </c>
      <c r="C24" s="69"/>
      <c r="D24" s="188">
        <v>2648022.08</v>
      </c>
      <c r="E24" s="188">
        <v>2648022.08</v>
      </c>
      <c r="F24" s="75">
        <f t="shared" ref="F24" si="11">+D24-E24</f>
        <v>0</v>
      </c>
      <c r="G24" s="127">
        <f t="shared" si="1"/>
        <v>0</v>
      </c>
      <c r="H24" s="48"/>
      <c r="I24" s="49"/>
      <c r="J24" s="70"/>
      <c r="K24" s="75"/>
      <c r="L24" s="75"/>
      <c r="M24" s="75"/>
      <c r="N24" s="113"/>
      <c r="P24" s="11"/>
      <c r="R24" s="11"/>
      <c r="S24" s="11">
        <f>+K21/$K$35*100</f>
        <v>0</v>
      </c>
      <c r="Y24" s="12"/>
    </row>
    <row r="25" spans="1:30" s="2" customFormat="1" ht="18.75" customHeight="1" x14ac:dyDescent="0.2">
      <c r="A25" s="115">
        <v>19</v>
      </c>
      <c r="B25" s="45" t="s">
        <v>11</v>
      </c>
      <c r="C25" s="44"/>
      <c r="D25" s="76">
        <f>SUM(D26:D26)</f>
        <v>950644428.36000001</v>
      </c>
      <c r="E25" s="76">
        <f>SUM(E26:E26)</f>
        <v>1056775743.53</v>
      </c>
      <c r="F25" s="76">
        <f>SUM(F26:F26)</f>
        <v>-106131315.16999996</v>
      </c>
      <c r="G25" s="126">
        <f t="shared" si="1"/>
        <v>-0.10042936339121894</v>
      </c>
      <c r="H25" s="46">
        <v>29</v>
      </c>
      <c r="I25" s="45" t="s">
        <v>10</v>
      </c>
      <c r="J25" s="44"/>
      <c r="K25" s="76">
        <f>SUM(K26:K28)</f>
        <v>11933250447.26</v>
      </c>
      <c r="L25" s="76">
        <f t="shared" ref="L25:M25" si="12">SUM(L26:L28)</f>
        <v>3665409602.8000002</v>
      </c>
      <c r="M25" s="76">
        <f t="shared" si="12"/>
        <v>8267840844.4599991</v>
      </c>
      <c r="N25" s="112">
        <f>+M25/L25</f>
        <v>2.255638998202059</v>
      </c>
      <c r="P25" s="11" t="e">
        <f>+#REF!/$D$9*100</f>
        <v>#REF!</v>
      </c>
      <c r="R25" s="11"/>
      <c r="S25" s="11"/>
      <c r="Z25" s="12"/>
    </row>
    <row r="26" spans="1:30" s="2" customFormat="1" ht="24.75" customHeight="1" x14ac:dyDescent="0.2">
      <c r="A26" s="117">
        <v>1906</v>
      </c>
      <c r="B26" s="77" t="s">
        <v>8</v>
      </c>
      <c r="C26" s="70"/>
      <c r="D26" s="188">
        <v>950644428.36000001</v>
      </c>
      <c r="E26" s="188">
        <v>1056775743.53</v>
      </c>
      <c r="F26" s="75">
        <f>+D26-E26</f>
        <v>-106131315.16999996</v>
      </c>
      <c r="G26" s="127">
        <f t="shared" si="1"/>
        <v>-0.10042936339121894</v>
      </c>
      <c r="H26" s="47">
        <v>2902</v>
      </c>
      <c r="I26" s="77" t="s">
        <v>104</v>
      </c>
      <c r="J26" s="69"/>
      <c r="K26" s="188">
        <v>7948479350.4200001</v>
      </c>
      <c r="L26" s="188">
        <v>1807727932.4200001</v>
      </c>
      <c r="M26" s="75">
        <f>+K26-L26</f>
        <v>6140751418</v>
      </c>
      <c r="N26" s="113">
        <f>+M26/L26</f>
        <v>3.3969444781324998</v>
      </c>
      <c r="R26" s="11"/>
      <c r="S26" s="11"/>
    </row>
    <row r="27" spans="1:30" s="2" customFormat="1" ht="23.25" customHeight="1" x14ac:dyDescent="0.2">
      <c r="A27" s="117"/>
      <c r="B27" s="77"/>
      <c r="C27" s="70"/>
      <c r="D27" s="75"/>
      <c r="E27" s="75"/>
      <c r="F27" s="75"/>
      <c r="G27" s="127"/>
      <c r="H27" s="42">
        <v>2910</v>
      </c>
      <c r="I27" s="77" t="s">
        <v>12</v>
      </c>
      <c r="J27" s="69"/>
      <c r="K27" s="188">
        <v>2361379692.7399998</v>
      </c>
      <c r="L27" s="188">
        <v>307735445</v>
      </c>
      <c r="M27" s="75">
        <f>+K27-L27</f>
        <v>2053644247.7399998</v>
      </c>
      <c r="N27" s="113">
        <f>+M27/L27</f>
        <v>6.6734082183480679</v>
      </c>
      <c r="R27" s="11"/>
      <c r="S27" s="11"/>
    </row>
    <row r="28" spans="1:30" s="2" customFormat="1" ht="21.95" customHeight="1" x14ac:dyDescent="0.2">
      <c r="A28" s="110"/>
      <c r="B28" s="41" t="s">
        <v>80</v>
      </c>
      <c r="C28" s="44"/>
      <c r="D28" s="128">
        <f>D29+D32+D46+D48</f>
        <v>290504071851.90002</v>
      </c>
      <c r="E28" s="128">
        <f>E29+E32+E46+E48</f>
        <v>291125001477.67004</v>
      </c>
      <c r="F28" s="128">
        <f>F29+F32+F46+F48</f>
        <v>-620929625.76999927</v>
      </c>
      <c r="G28" s="129">
        <f>+F28/E28</f>
        <v>-2.132862593794185E-3</v>
      </c>
      <c r="H28" s="42" t="s">
        <v>155</v>
      </c>
      <c r="I28" s="77" t="s">
        <v>156</v>
      </c>
      <c r="J28" s="69"/>
      <c r="K28" s="188">
        <v>1623391404.0999999</v>
      </c>
      <c r="L28" s="188">
        <v>1549946225.3800001</v>
      </c>
      <c r="M28" s="75">
        <f>+K28-L28</f>
        <v>73445178.71999979</v>
      </c>
      <c r="N28" s="113">
        <f>+M28/L28</f>
        <v>4.7385630235005895E-2</v>
      </c>
      <c r="R28" s="11"/>
      <c r="S28" s="11">
        <f>+K25/$K$35*100</f>
        <v>2219.1972664251475</v>
      </c>
    </row>
    <row r="29" spans="1:30" s="2" customFormat="1" ht="21" customHeight="1" x14ac:dyDescent="0.2">
      <c r="A29" s="115">
        <v>13</v>
      </c>
      <c r="B29" s="45" t="s">
        <v>73</v>
      </c>
      <c r="C29" s="44"/>
      <c r="D29" s="76">
        <f>SUM(D30:D31)</f>
        <v>1688931.5800000131</v>
      </c>
      <c r="E29" s="76">
        <f>SUM(E30:E31)</f>
        <v>3829306.880000025</v>
      </c>
      <c r="F29" s="76">
        <f>SUM(F30:F31)</f>
        <v>-2140375.3000000119</v>
      </c>
      <c r="G29" s="126">
        <f>+F29/E29</f>
        <v>-0.55894587899938641</v>
      </c>
      <c r="H29" s="42"/>
      <c r="I29" s="77"/>
      <c r="J29" s="69"/>
      <c r="K29" s="75"/>
      <c r="L29" s="75"/>
      <c r="M29" s="75"/>
      <c r="N29" s="113"/>
      <c r="R29" s="11"/>
      <c r="S29" s="11"/>
    </row>
    <row r="30" spans="1:30" s="2" customFormat="1" ht="25.5" customHeight="1" x14ac:dyDescent="0.2">
      <c r="A30" s="117">
        <v>1385</v>
      </c>
      <c r="B30" s="77" t="s">
        <v>158</v>
      </c>
      <c r="C30" s="69"/>
      <c r="D30" s="188">
        <v>162441049</v>
      </c>
      <c r="E30" s="188">
        <v>177335797.30000001</v>
      </c>
      <c r="F30" s="75">
        <f t="shared" ref="F30:F31" si="13">+D30-E30</f>
        <v>-14894748.300000012</v>
      </c>
      <c r="G30" s="127">
        <f t="shared" ref="G30:G31" si="14">+F30/E30</f>
        <v>-8.3991774513537606E-2</v>
      </c>
      <c r="H30" s="42"/>
      <c r="I30" s="41"/>
      <c r="J30" s="44"/>
      <c r="K30" s="76"/>
      <c r="L30" s="76"/>
      <c r="M30" s="76"/>
      <c r="N30" s="112"/>
      <c r="P30" s="11"/>
      <c r="R30" s="11"/>
      <c r="S30" s="11"/>
    </row>
    <row r="31" spans="1:30" s="2" customFormat="1" ht="24" customHeight="1" x14ac:dyDescent="0.2">
      <c r="A31" s="117">
        <v>1386</v>
      </c>
      <c r="B31" s="77" t="s">
        <v>76</v>
      </c>
      <c r="C31" s="69"/>
      <c r="D31" s="188">
        <v>-160752117.41999999</v>
      </c>
      <c r="E31" s="188">
        <v>-173506490.41999999</v>
      </c>
      <c r="F31" s="75">
        <f t="shared" si="13"/>
        <v>12754373</v>
      </c>
      <c r="G31" s="127">
        <f t="shared" si="14"/>
        <v>-7.3509486412444952E-2</v>
      </c>
      <c r="H31" s="47"/>
      <c r="I31" s="77"/>
      <c r="J31" s="69"/>
      <c r="K31" s="75"/>
      <c r="L31" s="75"/>
      <c r="M31" s="75"/>
      <c r="N31" s="113"/>
      <c r="P31" s="11" t="e">
        <f>+#REF!/$D$9*100</f>
        <v>#REF!</v>
      </c>
      <c r="R31" s="11"/>
      <c r="S31" s="11"/>
    </row>
    <row r="32" spans="1:30" s="2" customFormat="1" ht="17.25" customHeight="1" x14ac:dyDescent="0.2">
      <c r="A32" s="115">
        <v>16</v>
      </c>
      <c r="B32" s="46" t="s">
        <v>81</v>
      </c>
      <c r="C32" s="44"/>
      <c r="D32" s="76">
        <f>SUM(D33:D45)</f>
        <v>288520983365.17999</v>
      </c>
      <c r="E32" s="76">
        <f t="shared" ref="E32:F32" si="15">SUM(E33:E45)</f>
        <v>289082767311.55005</v>
      </c>
      <c r="F32" s="76">
        <f t="shared" si="15"/>
        <v>-561783946.36999929</v>
      </c>
      <c r="G32" s="126">
        <f>+F32/E32</f>
        <v>-1.9433325327363909E-3</v>
      </c>
      <c r="H32" s="42"/>
      <c r="I32" s="41" t="s">
        <v>105</v>
      </c>
      <c r="J32" s="131"/>
      <c r="K32" s="128">
        <f>+K34+K37</f>
        <v>581246116</v>
      </c>
      <c r="L32" s="128">
        <f t="shared" ref="L32:M32" si="16">+L34+L37</f>
        <v>510493596</v>
      </c>
      <c r="M32" s="128">
        <f t="shared" si="16"/>
        <v>70752520</v>
      </c>
      <c r="N32" s="130">
        <f>+M32/L32</f>
        <v>0.13859629298856083</v>
      </c>
      <c r="P32" s="11"/>
      <c r="S32" s="11"/>
    </row>
    <row r="33" spans="1:26" s="2" customFormat="1" ht="16.5" customHeight="1" x14ac:dyDescent="0.2">
      <c r="A33" s="117">
        <v>1605</v>
      </c>
      <c r="B33" s="42" t="s">
        <v>14</v>
      </c>
      <c r="C33" s="69"/>
      <c r="D33" s="188">
        <v>238583643185.28</v>
      </c>
      <c r="E33" s="188">
        <v>238583643185.28</v>
      </c>
      <c r="F33" s="75">
        <f t="shared" ref="F33:F45" si="17">+D33-E33</f>
        <v>0</v>
      </c>
      <c r="G33" s="127">
        <f t="shared" ref="G33:G43" si="18">+F33/E33</f>
        <v>0</v>
      </c>
      <c r="H33" s="47"/>
      <c r="I33" s="77"/>
      <c r="J33" s="69"/>
      <c r="K33" s="75"/>
      <c r="L33" s="75"/>
      <c r="M33" s="75"/>
      <c r="N33" s="113"/>
      <c r="R33" s="11"/>
    </row>
    <row r="34" spans="1:26" s="2" customFormat="1" ht="21.75" customHeight="1" x14ac:dyDescent="0.2">
      <c r="A34" s="117">
        <v>1615</v>
      </c>
      <c r="B34" s="77" t="s">
        <v>82</v>
      </c>
      <c r="C34" s="155"/>
      <c r="D34" s="75">
        <v>249733128.78</v>
      </c>
      <c r="E34" s="75">
        <v>249733128.78</v>
      </c>
      <c r="F34" s="75">
        <f t="shared" si="17"/>
        <v>0</v>
      </c>
      <c r="G34" s="127">
        <f t="shared" si="18"/>
        <v>0</v>
      </c>
      <c r="H34" s="46">
        <v>25</v>
      </c>
      <c r="I34" s="91" t="s">
        <v>101</v>
      </c>
      <c r="J34" s="44"/>
      <c r="K34" s="76">
        <f>SUM(K35:K36)</f>
        <v>537728242</v>
      </c>
      <c r="L34" s="76">
        <f>SUM(L35:L36)</f>
        <v>466975722</v>
      </c>
      <c r="M34" s="76">
        <f>SUM(M35:M36)</f>
        <v>70752520</v>
      </c>
      <c r="N34" s="112">
        <f>+M34/L34</f>
        <v>0.15151220216968794</v>
      </c>
      <c r="P34" s="11"/>
      <c r="S34" s="11"/>
    </row>
    <row r="35" spans="1:26" s="2" customFormat="1" ht="24" customHeight="1" x14ac:dyDescent="0.2">
      <c r="A35" s="117">
        <v>1635</v>
      </c>
      <c r="B35" s="77" t="s">
        <v>16</v>
      </c>
      <c r="C35" s="155"/>
      <c r="D35" s="188">
        <v>64659960.240000002</v>
      </c>
      <c r="E35" s="188">
        <v>85531851</v>
      </c>
      <c r="F35" s="75">
        <f t="shared" si="17"/>
        <v>-20871890.759999998</v>
      </c>
      <c r="G35" s="127">
        <f t="shared" si="18"/>
        <v>-0.24402477575283618</v>
      </c>
      <c r="H35" s="47">
        <v>2512</v>
      </c>
      <c r="I35" s="77" t="s">
        <v>106</v>
      </c>
      <c r="J35" s="69"/>
      <c r="K35" s="188">
        <v>537728242</v>
      </c>
      <c r="L35" s="188">
        <v>466975722</v>
      </c>
      <c r="M35" s="75">
        <f>+K35-L35</f>
        <v>70752520</v>
      </c>
      <c r="N35" s="113">
        <f>+M35/L35</f>
        <v>0.15151220216968794</v>
      </c>
      <c r="R35" s="11" t="e">
        <f>+#REF!/$K$35*100</f>
        <v>#REF!</v>
      </c>
      <c r="S35" s="11"/>
    </row>
    <row r="36" spans="1:26" s="2" customFormat="1" ht="23.25" customHeight="1" x14ac:dyDescent="0.2">
      <c r="A36" s="117">
        <v>1637</v>
      </c>
      <c r="B36" s="77" t="s">
        <v>83</v>
      </c>
      <c r="C36" s="155"/>
      <c r="D36" s="188">
        <v>151069655.02000001</v>
      </c>
      <c r="E36" s="188">
        <v>101325842</v>
      </c>
      <c r="F36" s="75">
        <f t="shared" si="17"/>
        <v>49743813.020000011</v>
      </c>
      <c r="G36" s="127">
        <f t="shared" si="18"/>
        <v>0.49092918487664788</v>
      </c>
      <c r="H36" s="150"/>
      <c r="I36" s="77"/>
      <c r="J36" s="69"/>
      <c r="K36" s="75"/>
      <c r="L36" s="75"/>
      <c r="M36" s="75"/>
      <c r="N36" s="113"/>
      <c r="R36" s="11"/>
      <c r="S36" s="11"/>
    </row>
    <row r="37" spans="1:26" s="2" customFormat="1" ht="16.5" customHeight="1" x14ac:dyDescent="0.2">
      <c r="A37" s="117">
        <v>1640</v>
      </c>
      <c r="B37" s="77" t="s">
        <v>17</v>
      </c>
      <c r="C37" s="69"/>
      <c r="D37" s="188">
        <v>45764095273.839996</v>
      </c>
      <c r="E37" s="188">
        <v>45764095273.839996</v>
      </c>
      <c r="F37" s="75">
        <f t="shared" si="17"/>
        <v>0</v>
      </c>
      <c r="G37" s="127">
        <f t="shared" si="18"/>
        <v>0</v>
      </c>
      <c r="H37" s="46">
        <v>27</v>
      </c>
      <c r="I37" s="45" t="s">
        <v>103</v>
      </c>
      <c r="J37" s="44"/>
      <c r="K37" s="76">
        <f>+K38</f>
        <v>43517874</v>
      </c>
      <c r="L37" s="76">
        <f>+L38</f>
        <v>43517874</v>
      </c>
      <c r="M37" s="76">
        <f>SUM(M38:M39)</f>
        <v>0</v>
      </c>
      <c r="N37" s="112">
        <f>+M37/L37</f>
        <v>0</v>
      </c>
      <c r="R37" s="11"/>
      <c r="S37" s="11"/>
    </row>
    <row r="38" spans="1:26" s="2" customFormat="1" ht="16.5" customHeight="1" x14ac:dyDescent="0.2">
      <c r="A38" s="117">
        <v>1655</v>
      </c>
      <c r="B38" s="77" t="s">
        <v>19</v>
      </c>
      <c r="C38" s="155"/>
      <c r="D38" s="188">
        <v>1954298697.9000001</v>
      </c>
      <c r="E38" s="188">
        <v>1944828209.9000001</v>
      </c>
      <c r="F38" s="75">
        <f t="shared" si="17"/>
        <v>9470488</v>
      </c>
      <c r="G38" s="127">
        <f t="shared" si="18"/>
        <v>4.869575601480481E-3</v>
      </c>
      <c r="H38" s="47">
        <v>2701</v>
      </c>
      <c r="I38" s="77" t="s">
        <v>28</v>
      </c>
      <c r="J38" s="69"/>
      <c r="K38" s="75">
        <v>43517874</v>
      </c>
      <c r="L38" s="75">
        <v>43517874</v>
      </c>
      <c r="M38" s="75">
        <f>+K38-L38</f>
        <v>0</v>
      </c>
      <c r="N38" s="113">
        <f>+M38/L38</f>
        <v>0</v>
      </c>
      <c r="P38" s="40" t="e">
        <f>+#REF!/#REF!*100</f>
        <v>#REF!</v>
      </c>
      <c r="R38" s="11"/>
      <c r="S38" s="11"/>
      <c r="Z38" s="12"/>
    </row>
    <row r="39" spans="1:26" s="2" customFormat="1" ht="18" customHeight="1" x14ac:dyDescent="0.2">
      <c r="A39" s="117">
        <v>1660</v>
      </c>
      <c r="B39" s="77" t="s">
        <v>84</v>
      </c>
      <c r="C39" s="155"/>
      <c r="D39" s="188">
        <v>2530297406.46</v>
      </c>
      <c r="E39" s="188">
        <v>2544049053.46</v>
      </c>
      <c r="F39" s="75">
        <f t="shared" si="17"/>
        <v>-13751647</v>
      </c>
      <c r="G39" s="127">
        <f t="shared" si="18"/>
        <v>-5.4054173921282119E-3</v>
      </c>
      <c r="H39" s="42"/>
      <c r="I39" s="42"/>
      <c r="J39" s="69"/>
      <c r="K39" s="75"/>
      <c r="L39" s="75"/>
      <c r="M39" s="75"/>
      <c r="N39" s="113"/>
      <c r="R39" s="11"/>
    </row>
    <row r="40" spans="1:26" s="2" customFormat="1" ht="24.95" customHeight="1" x14ac:dyDescent="0.2">
      <c r="A40" s="117">
        <v>1665</v>
      </c>
      <c r="B40" s="77" t="s">
        <v>85</v>
      </c>
      <c r="C40" s="155"/>
      <c r="D40" s="188">
        <v>1212889975.23</v>
      </c>
      <c r="E40" s="188">
        <v>1196149975.23</v>
      </c>
      <c r="F40" s="75">
        <f t="shared" si="17"/>
        <v>16740000</v>
      </c>
      <c r="G40" s="127">
        <f t="shared" si="18"/>
        <v>1.3994900594953549E-2</v>
      </c>
      <c r="H40" s="42"/>
      <c r="I40" s="41" t="s">
        <v>13</v>
      </c>
      <c r="J40" s="44"/>
      <c r="K40" s="128">
        <f>+K9+K32</f>
        <v>33714665960.900002</v>
      </c>
      <c r="L40" s="128">
        <f t="shared" ref="L40:M40" si="19">+L9+L32</f>
        <v>19445566051.310001</v>
      </c>
      <c r="M40" s="128">
        <f t="shared" si="19"/>
        <v>14269099909.59</v>
      </c>
      <c r="N40" s="130">
        <f>+M40/L40</f>
        <v>0.73379709656889747</v>
      </c>
      <c r="P40" s="40">
        <f>+D32/D53*100</f>
        <v>52.663738471986612</v>
      </c>
      <c r="R40" s="11"/>
      <c r="S40" s="11"/>
    </row>
    <row r="41" spans="1:26" s="2" customFormat="1" ht="24" customHeight="1" x14ac:dyDescent="0.2">
      <c r="A41" s="117">
        <v>1670</v>
      </c>
      <c r="B41" s="77" t="s">
        <v>86</v>
      </c>
      <c r="C41" s="155"/>
      <c r="D41" s="188">
        <v>12607796107.43</v>
      </c>
      <c r="E41" s="188">
        <v>12526706240.18</v>
      </c>
      <c r="F41" s="75">
        <f t="shared" si="17"/>
        <v>81089867.25</v>
      </c>
      <c r="G41" s="127">
        <f t="shared" si="18"/>
        <v>6.4733590534677369E-3</v>
      </c>
      <c r="H41" s="42"/>
      <c r="I41" s="41"/>
      <c r="J41" s="44"/>
      <c r="K41" s="181"/>
      <c r="L41" s="181"/>
      <c r="M41" s="181"/>
      <c r="N41" s="182"/>
      <c r="P41" s="11">
        <f>+D33/$D$32*100</f>
        <v>82.69195550443051</v>
      </c>
      <c r="R41" s="11"/>
      <c r="S41" s="11"/>
    </row>
    <row r="42" spans="1:26" s="2" customFormat="1" ht="24" customHeight="1" x14ac:dyDescent="0.2">
      <c r="A42" s="117">
        <v>1675</v>
      </c>
      <c r="B42" s="77" t="s">
        <v>87</v>
      </c>
      <c r="C42" s="155"/>
      <c r="D42" s="188">
        <v>1929741121</v>
      </c>
      <c r="E42" s="188">
        <v>1929741121</v>
      </c>
      <c r="F42" s="75">
        <f t="shared" si="17"/>
        <v>0</v>
      </c>
      <c r="G42" s="127">
        <f t="shared" si="18"/>
        <v>0</v>
      </c>
      <c r="H42" s="42"/>
      <c r="I42" s="41"/>
      <c r="J42" s="44"/>
      <c r="K42" s="76"/>
      <c r="L42" s="76"/>
      <c r="M42" s="76"/>
      <c r="N42" s="112"/>
      <c r="P42" s="11"/>
      <c r="R42" s="11"/>
      <c r="S42" s="11"/>
    </row>
    <row r="43" spans="1:26" s="2" customFormat="1" ht="21.95" customHeight="1" x14ac:dyDescent="0.2">
      <c r="A43" s="117">
        <v>1680</v>
      </c>
      <c r="B43" s="77" t="s">
        <v>88</v>
      </c>
      <c r="C43" s="155"/>
      <c r="D43" s="188">
        <v>609281816.19000006</v>
      </c>
      <c r="E43" s="188">
        <v>550476931.42999995</v>
      </c>
      <c r="F43" s="75">
        <f t="shared" si="17"/>
        <v>58804884.76000011</v>
      </c>
      <c r="G43" s="127">
        <f t="shared" si="18"/>
        <v>0.10682533890610071</v>
      </c>
      <c r="H43" s="48"/>
      <c r="I43" s="42"/>
      <c r="J43" s="69"/>
      <c r="K43" s="183"/>
      <c r="L43" s="183"/>
      <c r="M43" s="183"/>
      <c r="N43" s="184"/>
      <c r="P43" s="29">
        <f>+D34/$D$32*100</f>
        <v>8.6556314160316603E-2</v>
      </c>
      <c r="Q43" s="11">
        <f>+D32/D53*100</f>
        <v>52.663738471986612</v>
      </c>
      <c r="R43" s="11"/>
      <c r="S43" s="11"/>
    </row>
    <row r="44" spans="1:26" s="2" customFormat="1" ht="20.25" customHeight="1" x14ac:dyDescent="0.2">
      <c r="A44" s="117">
        <v>1681</v>
      </c>
      <c r="B44" s="77" t="s">
        <v>23</v>
      </c>
      <c r="C44" s="155"/>
      <c r="D44" s="188">
        <v>1448625898.6700001</v>
      </c>
      <c r="E44" s="188">
        <v>1432588454.6700001</v>
      </c>
      <c r="F44" s="75">
        <f t="shared" si="17"/>
        <v>16037444</v>
      </c>
      <c r="G44" s="127">
        <f>+F44/E44</f>
        <v>1.1194732128212119E-2</v>
      </c>
      <c r="H44" s="42"/>
      <c r="I44" s="186" t="s">
        <v>15</v>
      </c>
      <c r="J44" s="44"/>
      <c r="K44" s="128">
        <f>+K46</f>
        <v>552147564256.93994</v>
      </c>
      <c r="L44" s="128">
        <f>+L46</f>
        <v>503770177900.53998</v>
      </c>
      <c r="M44" s="128">
        <f>+M46</f>
        <v>48377386356.400024</v>
      </c>
      <c r="N44" s="130">
        <f>+M44/L44</f>
        <v>9.6030667313441564E-2</v>
      </c>
      <c r="R44" s="11"/>
      <c r="S44" s="11"/>
    </row>
    <row r="45" spans="1:26" s="2" customFormat="1" ht="25.5" customHeight="1" x14ac:dyDescent="0.2">
      <c r="A45" s="110">
        <v>1685</v>
      </c>
      <c r="B45" s="77" t="s">
        <v>89</v>
      </c>
      <c r="C45" s="69"/>
      <c r="D45" s="188">
        <v>-18585148860.860001</v>
      </c>
      <c r="E45" s="188">
        <v>-17826101955.220001</v>
      </c>
      <c r="F45" s="75">
        <f t="shared" si="17"/>
        <v>-759046905.63999939</v>
      </c>
      <c r="G45" s="127">
        <f>+F45/E45</f>
        <v>4.2580644245542892E-2</v>
      </c>
      <c r="H45" s="48"/>
      <c r="I45" s="42"/>
      <c r="J45" s="69"/>
      <c r="K45" s="76"/>
      <c r="L45" s="76"/>
      <c r="M45" s="76"/>
      <c r="N45" s="118"/>
      <c r="P45" s="11"/>
      <c r="R45" s="11"/>
      <c r="S45" s="11"/>
    </row>
    <row r="46" spans="1:26" s="2" customFormat="1" ht="33.75" x14ac:dyDescent="0.2">
      <c r="A46" s="115">
        <v>17</v>
      </c>
      <c r="B46" s="141" t="s">
        <v>21</v>
      </c>
      <c r="C46" s="44"/>
      <c r="D46" s="76">
        <f>+D47</f>
        <v>46206747.32</v>
      </c>
      <c r="E46" s="76">
        <f>+E47</f>
        <v>46206747.32</v>
      </c>
      <c r="F46" s="76">
        <f>+F47</f>
        <v>0</v>
      </c>
      <c r="G46" s="126">
        <f>+F46/E46</f>
        <v>0</v>
      </c>
      <c r="H46" s="46">
        <v>31</v>
      </c>
      <c r="I46" s="141" t="s">
        <v>116</v>
      </c>
      <c r="J46" s="44"/>
      <c r="K46" s="76">
        <f>SUM(K47:K50)</f>
        <v>552147564256.93994</v>
      </c>
      <c r="L46" s="76">
        <f>SUM(L47:L50)</f>
        <v>503770177900.53998</v>
      </c>
      <c r="M46" s="76">
        <f>SUM(M47:M50)</f>
        <v>48377386356.400024</v>
      </c>
      <c r="N46" s="112">
        <f t="shared" ref="N46:N48" si="20">+M46/L46</f>
        <v>9.6030667313441564E-2</v>
      </c>
      <c r="P46" s="11">
        <f>+D36/$D$32*100</f>
        <v>5.2360023613530968E-2</v>
      </c>
      <c r="R46" s="11">
        <f>+K41/$K$38*100</f>
        <v>0</v>
      </c>
      <c r="S46" s="11"/>
    </row>
    <row r="47" spans="1:26" s="2" customFormat="1" ht="21.75" customHeight="1" x14ac:dyDescent="0.2">
      <c r="A47" s="117">
        <v>1715</v>
      </c>
      <c r="B47" s="49" t="s">
        <v>22</v>
      </c>
      <c r="C47" s="70"/>
      <c r="D47" s="75">
        <v>46206747.32</v>
      </c>
      <c r="E47" s="75">
        <v>46206747.32</v>
      </c>
      <c r="F47" s="75">
        <f>+D47-E47</f>
        <v>0</v>
      </c>
      <c r="G47" s="127">
        <f>+F47/E47</f>
        <v>0</v>
      </c>
      <c r="H47" s="47">
        <v>3105</v>
      </c>
      <c r="I47" s="77" t="s">
        <v>18</v>
      </c>
      <c r="J47" s="69"/>
      <c r="K47" s="188">
        <v>44239962579.480003</v>
      </c>
      <c r="L47" s="75">
        <v>44239962579.480003</v>
      </c>
      <c r="M47" s="75">
        <f>+K47-L47</f>
        <v>0</v>
      </c>
      <c r="N47" s="113">
        <f>+M47/L47</f>
        <v>0</v>
      </c>
      <c r="P47" s="29">
        <f>+D37/$D$32*100</f>
        <v>15.861617668173736</v>
      </c>
      <c r="R47" s="11">
        <f>+K44/$K$38*100</f>
        <v>1268783.4066915584</v>
      </c>
      <c r="S47" s="11"/>
    </row>
    <row r="48" spans="1:26" s="2" customFormat="1" ht="21.95" customHeight="1" x14ac:dyDescent="0.2">
      <c r="A48" s="115">
        <v>19</v>
      </c>
      <c r="B48" s="45" t="s">
        <v>11</v>
      </c>
      <c r="C48" s="44"/>
      <c r="D48" s="76">
        <f>SUM(D49:D52)</f>
        <v>1935192807.8199999</v>
      </c>
      <c r="E48" s="76">
        <f>SUM(E49:E52)</f>
        <v>1992198111.9199998</v>
      </c>
      <c r="F48" s="76">
        <f>SUM(F49:F52)</f>
        <v>-57005304.099999934</v>
      </c>
      <c r="G48" s="126">
        <f t="shared" ref="G48:G52" si="21">+F48/E48</f>
        <v>-2.8614274734484378E-2</v>
      </c>
      <c r="H48" s="47">
        <v>3109</v>
      </c>
      <c r="I48" s="77" t="s">
        <v>117</v>
      </c>
      <c r="J48" s="69"/>
      <c r="K48" s="188">
        <v>429961039099.41998</v>
      </c>
      <c r="L48" s="75">
        <v>429957078676.41998</v>
      </c>
      <c r="M48" s="75">
        <f>+K48-L48</f>
        <v>3960423</v>
      </c>
      <c r="N48" s="113">
        <f t="shared" si="20"/>
        <v>9.211205481700098E-6</v>
      </c>
      <c r="P48" s="11">
        <f>+D39/$D$32*100</f>
        <v>0.87698904147204138</v>
      </c>
      <c r="R48" s="11">
        <f>+K45/$K$38*100</f>
        <v>0</v>
      </c>
      <c r="S48" s="11"/>
    </row>
    <row r="49" spans="1:26" s="2" customFormat="1" ht="24" customHeight="1" x14ac:dyDescent="0.2">
      <c r="A49" s="117">
        <v>1905</v>
      </c>
      <c r="B49" s="77" t="s">
        <v>187</v>
      </c>
      <c r="C49" s="69"/>
      <c r="D49" s="188">
        <v>77145716.620000005</v>
      </c>
      <c r="E49" s="188">
        <v>32715806.66</v>
      </c>
      <c r="F49" s="75">
        <f>+D49-E49</f>
        <v>44429909.960000008</v>
      </c>
      <c r="G49" s="127">
        <f t="shared" si="21"/>
        <v>1.3580563799553891</v>
      </c>
      <c r="H49" s="47">
        <v>3110</v>
      </c>
      <c r="I49" s="77" t="s">
        <v>20</v>
      </c>
      <c r="J49" s="69"/>
      <c r="K49" s="75">
        <f>+'EST RESUL DICIEMBRE 2024-2023'!D76</f>
        <v>77946562578.040024</v>
      </c>
      <c r="L49" s="75">
        <v>29573136644.640003</v>
      </c>
      <c r="M49" s="75">
        <f>+K49-L49</f>
        <v>48373425933.400024</v>
      </c>
      <c r="N49" s="113">
        <f>+M49/L49</f>
        <v>1.6357218550967434</v>
      </c>
      <c r="P49" s="11">
        <f>+D40/$D$32*100</f>
        <v>0.42038189426758243</v>
      </c>
      <c r="R49" s="11" t="e">
        <f>+#REF!/$K$38*100</f>
        <v>#REF!</v>
      </c>
      <c r="S49" s="11"/>
    </row>
    <row r="50" spans="1:26" s="2" customFormat="1" ht="24.75" customHeight="1" x14ac:dyDescent="0.2">
      <c r="A50" s="117">
        <v>1909</v>
      </c>
      <c r="B50" s="77" t="s">
        <v>90</v>
      </c>
      <c r="C50" s="69"/>
      <c r="D50" s="188">
        <v>1263704</v>
      </c>
      <c r="E50" s="188">
        <v>1263704</v>
      </c>
      <c r="F50" s="75">
        <f>+D50-E50</f>
        <v>0</v>
      </c>
      <c r="G50" s="127">
        <f t="shared" si="21"/>
        <v>0</v>
      </c>
      <c r="H50" s="47"/>
      <c r="I50" s="77"/>
      <c r="J50" s="69"/>
      <c r="K50" s="75"/>
      <c r="L50" s="75"/>
      <c r="M50" s="75"/>
      <c r="N50" s="113"/>
      <c r="P50" s="29">
        <f>+D41/$D$32*100</f>
        <v>4.3698021406894894</v>
      </c>
      <c r="R50" s="11"/>
      <c r="S50" s="11"/>
    </row>
    <row r="51" spans="1:26" s="2" customFormat="1" ht="22.5" customHeight="1" x14ac:dyDescent="0.2">
      <c r="A51" s="117">
        <v>1970</v>
      </c>
      <c r="B51" s="77" t="s">
        <v>91</v>
      </c>
      <c r="C51" s="69"/>
      <c r="D51" s="188">
        <v>3163011364.6700001</v>
      </c>
      <c r="E51" s="188">
        <v>3163011364.6700001</v>
      </c>
      <c r="F51" s="75">
        <f>+D51-E51</f>
        <v>0</v>
      </c>
      <c r="G51" s="127">
        <f t="shared" si="21"/>
        <v>0</v>
      </c>
      <c r="H51" s="42"/>
      <c r="I51" s="42"/>
      <c r="J51" s="69"/>
      <c r="K51" s="75"/>
      <c r="L51" s="75"/>
      <c r="M51" s="75"/>
      <c r="N51" s="118"/>
      <c r="P51" s="11">
        <f>+D42/$D$32*100</f>
        <v>0.66883909048567658</v>
      </c>
      <c r="R51" s="11"/>
      <c r="S51" s="11"/>
      <c r="Y51" s="12"/>
    </row>
    <row r="52" spans="1:26" s="2" customFormat="1" ht="24" customHeight="1" x14ac:dyDescent="0.2">
      <c r="A52" s="110">
        <v>1975</v>
      </c>
      <c r="B52" s="77" t="s">
        <v>92</v>
      </c>
      <c r="C52" s="69"/>
      <c r="D52" s="188">
        <v>-1306227977.47</v>
      </c>
      <c r="E52" s="188">
        <v>-1204792763.4100001</v>
      </c>
      <c r="F52" s="75">
        <f>+D52-E52</f>
        <v>-101435214.05999994</v>
      </c>
      <c r="G52" s="127">
        <f t="shared" si="21"/>
        <v>8.4193080453854596E-2</v>
      </c>
      <c r="H52" s="42"/>
      <c r="I52" s="42"/>
      <c r="J52" s="69"/>
      <c r="K52" s="75"/>
      <c r="L52" s="75"/>
      <c r="M52" s="75"/>
      <c r="N52" s="118"/>
      <c r="P52" s="11">
        <f>+D43/$D$32*100</f>
        <v>0.2111741784197492</v>
      </c>
      <c r="R52" s="11"/>
      <c r="S52" s="11"/>
      <c r="Y52" s="12"/>
      <c r="Z52" s="12"/>
    </row>
    <row r="53" spans="1:26" s="2" customFormat="1" ht="27" customHeight="1" thickBot="1" x14ac:dyDescent="0.25">
      <c r="A53" s="134"/>
      <c r="B53" s="135" t="s">
        <v>24</v>
      </c>
      <c r="C53" s="136"/>
      <c r="D53" s="137">
        <f>+D9+D28</f>
        <v>547855111954.59998</v>
      </c>
      <c r="E53" s="137">
        <f>+E9+E28</f>
        <v>523215743951.85004</v>
      </c>
      <c r="F53" s="137">
        <f>+F9+F28</f>
        <v>24639368002.749992</v>
      </c>
      <c r="G53" s="138">
        <f>+F53/E53</f>
        <v>4.7092176196092218E-2</v>
      </c>
      <c r="H53" s="139"/>
      <c r="I53" s="135" t="s">
        <v>25</v>
      </c>
      <c r="J53" s="136"/>
      <c r="K53" s="137">
        <f>+K40+K44</f>
        <v>585862230217.83997</v>
      </c>
      <c r="L53" s="137">
        <f>+L40+L44</f>
        <v>523215743951.84998</v>
      </c>
      <c r="M53" s="137">
        <f>+M40+M44</f>
        <v>62646486265.990021</v>
      </c>
      <c r="N53" s="140">
        <f>+M53/L53</f>
        <v>0.11973356495892294</v>
      </c>
      <c r="R53" s="11"/>
      <c r="S53" s="11"/>
      <c r="Y53" s="12">
        <f>+D53-K53</f>
        <v>-38007118263.23999</v>
      </c>
      <c r="Z53" s="12">
        <f>+E53-L53</f>
        <v>0</v>
      </c>
    </row>
    <row r="54" spans="1:26" s="2" customFormat="1" ht="27" customHeight="1" x14ac:dyDescent="0.2">
      <c r="A54" s="145">
        <v>8</v>
      </c>
      <c r="B54" s="142" t="s">
        <v>26</v>
      </c>
      <c r="C54" s="143"/>
      <c r="D54" s="144">
        <f>+D55+D61+D58</f>
        <v>0</v>
      </c>
      <c r="E54" s="144">
        <f>+E55+E61+E58</f>
        <v>0</v>
      </c>
      <c r="F54" s="144">
        <f>+F55+F61+F58</f>
        <v>0</v>
      </c>
      <c r="G54" s="167">
        <v>0</v>
      </c>
      <c r="H54" s="168">
        <v>9</v>
      </c>
      <c r="I54" s="156" t="s">
        <v>27</v>
      </c>
      <c r="J54" s="143"/>
      <c r="K54" s="144">
        <f>+K55+K59+K61</f>
        <v>0</v>
      </c>
      <c r="L54" s="144">
        <f>+L55+L59+L61</f>
        <v>0</v>
      </c>
      <c r="M54" s="144">
        <f>+M55+M59+M61</f>
        <v>0</v>
      </c>
      <c r="N54" s="146">
        <v>0</v>
      </c>
      <c r="Q54" s="11" t="e">
        <f>+#REF!/D53*100</f>
        <v>#REF!</v>
      </c>
      <c r="R54" s="11"/>
      <c r="S54" s="11"/>
    </row>
    <row r="55" spans="1:26" s="2" customFormat="1" ht="20.25" customHeight="1" x14ac:dyDescent="0.2">
      <c r="A55" s="115">
        <v>81</v>
      </c>
      <c r="B55" s="41" t="s">
        <v>107</v>
      </c>
      <c r="C55" s="44"/>
      <c r="D55" s="76">
        <f>SUM(D56:D57)</f>
        <v>396525656</v>
      </c>
      <c r="E55" s="76">
        <f t="shared" ref="E55:F55" si="22">SUM(E56:E57)</f>
        <v>622396705.27999997</v>
      </c>
      <c r="F55" s="76">
        <f t="shared" si="22"/>
        <v>-225871049.27999997</v>
      </c>
      <c r="G55" s="166">
        <f>+F55/E55</f>
        <v>-0.36290527787801591</v>
      </c>
      <c r="H55" s="169">
        <v>91</v>
      </c>
      <c r="I55" s="45" t="s">
        <v>111</v>
      </c>
      <c r="J55" s="44"/>
      <c r="K55" s="76">
        <f>SUM(K56:K58)</f>
        <v>4258419413.7799997</v>
      </c>
      <c r="L55" s="76">
        <f>SUM(L56:L58)</f>
        <v>4532675674.3500004</v>
      </c>
      <c r="M55" s="76">
        <f>SUM(M56:M58)</f>
        <v>-274256260.57000005</v>
      </c>
      <c r="N55" s="112">
        <f>+M55/L55</f>
        <v>-6.0506482323893433E-2</v>
      </c>
      <c r="R55" s="11"/>
      <c r="S55" s="11"/>
    </row>
    <row r="56" spans="1:26" s="2" customFormat="1" ht="21.75" customHeight="1" x14ac:dyDescent="0.2">
      <c r="A56" s="114">
        <v>8120</v>
      </c>
      <c r="B56" s="77" t="s">
        <v>108</v>
      </c>
      <c r="C56" s="69"/>
      <c r="D56" s="188">
        <v>13544742</v>
      </c>
      <c r="E56" s="75">
        <v>13544742</v>
      </c>
      <c r="F56" s="75">
        <f>+D56-E56</f>
        <v>0</v>
      </c>
      <c r="G56" s="161">
        <f>+F56/E56</f>
        <v>0</v>
      </c>
      <c r="H56" s="164">
        <v>9120</v>
      </c>
      <c r="I56" s="77" t="s">
        <v>108</v>
      </c>
      <c r="J56" s="69"/>
      <c r="K56" s="188">
        <v>64252355</v>
      </c>
      <c r="L56" s="188">
        <v>233479252</v>
      </c>
      <c r="M56" s="75">
        <f>+K56-L56</f>
        <v>-169226897</v>
      </c>
      <c r="N56" s="113">
        <f t="shared" ref="N56:N60" si="23">+M56/L56</f>
        <v>-0.72480486188982651</v>
      </c>
      <c r="O56" s="12"/>
      <c r="Q56" s="12"/>
      <c r="R56" s="11"/>
      <c r="S56" s="11"/>
    </row>
    <row r="57" spans="1:26" s="2" customFormat="1" ht="24" customHeight="1" x14ac:dyDescent="0.2">
      <c r="A57" s="114">
        <v>8190</v>
      </c>
      <c r="B57" s="77" t="s">
        <v>109</v>
      </c>
      <c r="C57" s="69"/>
      <c r="D57" s="188">
        <v>382980914</v>
      </c>
      <c r="E57" s="188">
        <v>608851963.27999997</v>
      </c>
      <c r="F57" s="75">
        <f>+D57-E57</f>
        <v>-225871049.27999997</v>
      </c>
      <c r="G57" s="161">
        <f>+F57/E57</f>
        <v>-0.37097860055043624</v>
      </c>
      <c r="H57" s="164">
        <v>9128</v>
      </c>
      <c r="I57" s="77" t="s">
        <v>112</v>
      </c>
      <c r="J57" s="69"/>
      <c r="K57" s="188">
        <v>215920697.78</v>
      </c>
      <c r="L57" s="188">
        <v>320950061.35000002</v>
      </c>
      <c r="M57" s="75">
        <f>+K57-L57</f>
        <v>-105029363.57000002</v>
      </c>
      <c r="N57" s="113">
        <f t="shared" si="23"/>
        <v>-0.32724518926159107</v>
      </c>
      <c r="P57" s="12">
        <f>+D53-K53</f>
        <v>-38007118263.23999</v>
      </c>
    </row>
    <row r="58" spans="1:26" s="2" customFormat="1" ht="22.5" x14ac:dyDescent="0.2">
      <c r="A58" s="115"/>
      <c r="B58" s="91"/>
      <c r="C58" s="69"/>
      <c r="D58" s="79"/>
      <c r="E58" s="79"/>
      <c r="F58" s="79"/>
      <c r="G58" s="149"/>
      <c r="H58" s="164">
        <v>9190</v>
      </c>
      <c r="I58" s="77" t="s">
        <v>166</v>
      </c>
      <c r="J58" s="69"/>
      <c r="K58" s="188">
        <v>3978246361</v>
      </c>
      <c r="L58" s="188">
        <v>3978246361</v>
      </c>
      <c r="M58" s="75">
        <f>+K58-L58</f>
        <v>0</v>
      </c>
      <c r="N58" s="116">
        <f t="shared" si="23"/>
        <v>0</v>
      </c>
    </row>
    <row r="59" spans="1:26" s="2" customFormat="1" ht="20.25" customHeight="1" x14ac:dyDescent="0.2">
      <c r="A59" s="115"/>
      <c r="B59" s="91"/>
      <c r="C59" s="69"/>
      <c r="D59" s="79"/>
      <c r="E59" s="79"/>
      <c r="F59" s="79"/>
      <c r="G59" s="149"/>
      <c r="H59" s="169">
        <v>93</v>
      </c>
      <c r="I59" s="45" t="s">
        <v>177</v>
      </c>
      <c r="J59" s="44"/>
      <c r="K59" s="76">
        <f>SUM(K60)</f>
        <v>289211704.18000001</v>
      </c>
      <c r="L59" s="76">
        <f>SUM(L60)</f>
        <v>289211704.18000001</v>
      </c>
      <c r="M59" s="76">
        <f>SUM(M60)</f>
        <v>0</v>
      </c>
      <c r="N59" s="112">
        <f>+M59/L59</f>
        <v>0</v>
      </c>
    </row>
    <row r="60" spans="1:26" s="2" customFormat="1" ht="21" customHeight="1" x14ac:dyDescent="0.2">
      <c r="A60" s="115"/>
      <c r="B60" s="91"/>
      <c r="C60" s="69"/>
      <c r="D60" s="79"/>
      <c r="E60" s="79"/>
      <c r="F60" s="79"/>
      <c r="G60" s="149"/>
      <c r="H60" s="164">
        <v>9308</v>
      </c>
      <c r="I60" s="77" t="s">
        <v>178</v>
      </c>
      <c r="J60" s="69"/>
      <c r="K60" s="188">
        <v>289211704.18000001</v>
      </c>
      <c r="L60" s="188">
        <v>289211704.18000001</v>
      </c>
      <c r="M60" s="75">
        <f>+K60-L60</f>
        <v>0</v>
      </c>
      <c r="N60" s="113">
        <f t="shared" si="23"/>
        <v>0</v>
      </c>
    </row>
    <row r="61" spans="1:26" s="2" customFormat="1" ht="33" customHeight="1" x14ac:dyDescent="0.2">
      <c r="A61" s="115">
        <v>89</v>
      </c>
      <c r="B61" s="45" t="s">
        <v>164</v>
      </c>
      <c r="C61" s="44"/>
      <c r="D61" s="76">
        <f>SUM(D62:D63)</f>
        <v>-396525656</v>
      </c>
      <c r="E61" s="76">
        <f>SUM(E62:E63)</f>
        <v>-622396705.27999997</v>
      </c>
      <c r="F61" s="76">
        <f>SUM(F62:F63)</f>
        <v>225871049.27999997</v>
      </c>
      <c r="G61" s="163">
        <f>+F61/E61</f>
        <v>-0.36290527787801591</v>
      </c>
      <c r="H61" s="165">
        <v>99</v>
      </c>
      <c r="I61" s="91" t="s">
        <v>163</v>
      </c>
      <c r="J61" s="44"/>
      <c r="K61" s="79">
        <f>SUM(K62:K63)</f>
        <v>-4547631117.96</v>
      </c>
      <c r="L61" s="79">
        <f>SUM(L62:L63)</f>
        <v>-4821887378.5300007</v>
      </c>
      <c r="M61" s="79">
        <f>SUM(M62:M63)</f>
        <v>274256260.57000017</v>
      </c>
      <c r="N61" s="170">
        <f>+M61/L61</f>
        <v>-5.6877367520269596E-2</v>
      </c>
    </row>
    <row r="62" spans="1:26" s="2" customFormat="1" ht="22.5" x14ac:dyDescent="0.2">
      <c r="A62" s="114">
        <v>8905</v>
      </c>
      <c r="B62" s="77" t="s">
        <v>110</v>
      </c>
      <c r="C62" s="44"/>
      <c r="D62" s="188">
        <v>-396525656</v>
      </c>
      <c r="E62" s="188">
        <v>-622396705.27999997</v>
      </c>
      <c r="F62" s="75">
        <f>+D62-E62</f>
        <v>225871049.27999997</v>
      </c>
      <c r="G62" s="171">
        <f>+F62/E62</f>
        <v>-0.36290527787801591</v>
      </c>
      <c r="H62" s="50">
        <v>9905</v>
      </c>
      <c r="I62" s="77" t="s">
        <v>168</v>
      </c>
      <c r="J62" s="44"/>
      <c r="K62" s="188">
        <v>-4258419413.7800002</v>
      </c>
      <c r="L62" s="188">
        <v>-4532675674.3500004</v>
      </c>
      <c r="M62" s="75">
        <f>+K62-L62</f>
        <v>274256260.57000017</v>
      </c>
      <c r="N62" s="116">
        <f t="shared" ref="N62:N63" si="24">+M62/L62</f>
        <v>-6.0506482323893461E-2</v>
      </c>
      <c r="V62" s="82"/>
    </row>
    <row r="63" spans="1:26" s="2" customFormat="1" ht="22.5" x14ac:dyDescent="0.2">
      <c r="A63" s="114"/>
      <c r="B63" s="77"/>
      <c r="C63" s="69"/>
      <c r="D63" s="80"/>
      <c r="E63" s="80"/>
      <c r="F63" s="75"/>
      <c r="G63" s="172"/>
      <c r="H63" s="50">
        <v>9915</v>
      </c>
      <c r="I63" s="77" t="s">
        <v>171</v>
      </c>
      <c r="J63" s="69"/>
      <c r="K63" s="188">
        <v>-289211704.18000001</v>
      </c>
      <c r="L63" s="188">
        <v>-289211704.18000001</v>
      </c>
      <c r="M63" s="75">
        <f>+K63-L63</f>
        <v>0</v>
      </c>
      <c r="N63" s="116">
        <f t="shared" si="24"/>
        <v>0</v>
      </c>
      <c r="U63" s="82"/>
      <c r="V63" s="82"/>
    </row>
    <row r="64" spans="1:26" x14ac:dyDescent="0.2">
      <c r="A64" s="114"/>
      <c r="B64" s="77"/>
      <c r="C64" s="69"/>
      <c r="D64" s="80"/>
      <c r="E64" s="80"/>
      <c r="F64" s="75"/>
      <c r="G64" s="162"/>
      <c r="H64" s="50"/>
      <c r="I64" s="77"/>
      <c r="J64" s="69"/>
      <c r="K64" s="80"/>
      <c r="L64" s="80"/>
      <c r="M64" s="75"/>
      <c r="N64" s="116"/>
      <c r="O64" s="2"/>
      <c r="P64" s="2"/>
      <c r="Q64" s="2"/>
      <c r="R64" s="2"/>
      <c r="S64" s="2"/>
      <c r="T64" s="2"/>
    </row>
    <row r="65" spans="1:20" ht="42.75" customHeight="1" x14ac:dyDescent="0.2">
      <c r="A65" s="231" t="s">
        <v>196</v>
      </c>
      <c r="B65" s="232"/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3"/>
      <c r="O65" s="2"/>
      <c r="P65" s="2"/>
      <c r="Q65" s="2"/>
      <c r="R65" s="2"/>
      <c r="S65" s="2"/>
      <c r="T65" s="2"/>
    </row>
    <row r="66" spans="1:20" ht="24" customHeight="1" x14ac:dyDescent="0.2">
      <c r="A66" s="104"/>
      <c r="B66" s="6"/>
      <c r="C66" s="71"/>
      <c r="D66" s="22"/>
      <c r="E66" s="5"/>
      <c r="F66" s="5"/>
      <c r="G66" s="5"/>
      <c r="H66" s="6"/>
      <c r="I66" s="22"/>
      <c r="J66" s="73"/>
      <c r="K66" s="22"/>
      <c r="L66" s="5"/>
      <c r="M66" s="5"/>
      <c r="N66" s="119"/>
    </row>
    <row r="67" spans="1:20" ht="28.5" customHeight="1" x14ac:dyDescent="0.2">
      <c r="A67" s="104"/>
      <c r="B67" s="6"/>
      <c r="C67" s="71"/>
      <c r="D67" s="22"/>
      <c r="E67" s="5"/>
      <c r="F67" s="5"/>
      <c r="G67" s="5"/>
      <c r="H67" s="6"/>
      <c r="I67" s="6"/>
      <c r="J67" s="71"/>
      <c r="K67" s="22"/>
      <c r="L67" s="5"/>
      <c r="M67" s="5"/>
      <c r="N67" s="119"/>
    </row>
    <row r="68" spans="1:20" x14ac:dyDescent="0.2">
      <c r="A68" s="236" t="s">
        <v>189</v>
      </c>
      <c r="B68" s="237"/>
      <c r="C68" s="237"/>
      <c r="D68" s="237"/>
      <c r="E68" s="200" t="s">
        <v>66</v>
      </c>
      <c r="F68" s="18"/>
      <c r="G68" s="18"/>
      <c r="H68" s="7"/>
      <c r="I68" s="7"/>
      <c r="J68" s="67"/>
      <c r="K68" s="83" t="s">
        <v>172</v>
      </c>
      <c r="L68" s="18"/>
      <c r="M68" s="5"/>
      <c r="N68" s="119"/>
    </row>
    <row r="69" spans="1:20" x14ac:dyDescent="0.2">
      <c r="A69" s="238" t="s">
        <v>188</v>
      </c>
      <c r="B69" s="234"/>
      <c r="C69" s="234"/>
      <c r="D69" s="234"/>
      <c r="E69" s="234" t="s">
        <v>67</v>
      </c>
      <c r="F69" s="234"/>
      <c r="G69" s="234"/>
      <c r="H69" s="234"/>
      <c r="I69" s="199"/>
      <c r="J69" s="199"/>
      <c r="K69" s="83" t="s">
        <v>29</v>
      </c>
      <c r="L69" s="92"/>
      <c r="M69" s="93"/>
      <c r="N69" s="120"/>
    </row>
    <row r="70" spans="1:20" x14ac:dyDescent="0.2">
      <c r="A70" s="239" t="s">
        <v>190</v>
      </c>
      <c r="B70" s="240"/>
      <c r="C70" s="240"/>
      <c r="D70" s="240"/>
      <c r="E70" s="235" t="s">
        <v>113</v>
      </c>
      <c r="F70" s="235"/>
      <c r="G70" s="235"/>
      <c r="H70" s="235"/>
      <c r="I70" s="7"/>
      <c r="J70" s="197"/>
      <c r="K70" s="198" t="s">
        <v>114</v>
      </c>
      <c r="L70" s="92"/>
      <c r="M70" s="93"/>
      <c r="N70" s="120"/>
    </row>
    <row r="71" spans="1:20" ht="13.5" thickBot="1" x14ac:dyDescent="0.25">
      <c r="A71" s="229"/>
      <c r="B71" s="230"/>
      <c r="C71" s="196"/>
      <c r="D71" s="121"/>
      <c r="E71" s="196"/>
      <c r="F71" s="196"/>
      <c r="G71" s="196"/>
      <c r="H71" s="196"/>
      <c r="I71" s="196"/>
      <c r="J71" s="196"/>
      <c r="K71" s="154" t="s">
        <v>115</v>
      </c>
      <c r="L71" s="122"/>
      <c r="M71" s="123"/>
      <c r="N71" s="124"/>
    </row>
    <row r="75" spans="1:20" ht="13.5" thickBot="1" x14ac:dyDescent="0.25">
      <c r="A75" s="82">
        <v>1</v>
      </c>
      <c r="B75" s="25" t="s">
        <v>30</v>
      </c>
      <c r="C75" s="25"/>
      <c r="D75" s="19">
        <v>2024</v>
      </c>
      <c r="E75" s="19">
        <v>2023</v>
      </c>
      <c r="K75" s="37" t="s">
        <v>175</v>
      </c>
    </row>
    <row r="77" spans="1:20" x14ac:dyDescent="0.2">
      <c r="A77" s="82">
        <v>1.1000000000000001</v>
      </c>
      <c r="B77" s="3" t="s">
        <v>31</v>
      </c>
      <c r="C77" s="8"/>
      <c r="D77" s="14">
        <f>+D9-K9</f>
        <v>224217620257.79996</v>
      </c>
      <c r="E77" s="14">
        <f>+E9-L9</f>
        <v>213155670018.87</v>
      </c>
      <c r="F77" s="17" t="s">
        <v>32</v>
      </c>
      <c r="I77" s="14">
        <f>+D77-E77</f>
        <v>11061950238.929962</v>
      </c>
      <c r="J77" s="74"/>
      <c r="K77" s="112">
        <f>+I77/E77</f>
        <v>5.1896110659175439E-2</v>
      </c>
    </row>
    <row r="78" spans="1:20" hidden="1" x14ac:dyDescent="0.2">
      <c r="A78" s="82">
        <v>1.2</v>
      </c>
      <c r="B78" s="3" t="s">
        <v>33</v>
      </c>
      <c r="C78" s="8"/>
      <c r="D78" s="14">
        <f>+D9/K9</f>
        <v>7.7671137270882173</v>
      </c>
      <c r="E78" s="14">
        <f>+E9/L9</f>
        <v>12.257187978654621</v>
      </c>
      <c r="F78" s="17" t="s">
        <v>34</v>
      </c>
      <c r="I78" s="14">
        <f>+D78-E78</f>
        <v>-4.4900742515664032</v>
      </c>
      <c r="J78" s="74"/>
      <c r="K78" s="112">
        <f>+I78/E78</f>
        <v>-0.36632172561811727</v>
      </c>
    </row>
    <row r="80" spans="1:20" x14ac:dyDescent="0.2">
      <c r="A80" s="82">
        <v>2</v>
      </c>
      <c r="B80" s="3" t="s">
        <v>35</v>
      </c>
      <c r="C80" s="8"/>
      <c r="D80" s="14">
        <f>+K40/D53*100</f>
        <v>6.1539383726137231</v>
      </c>
      <c r="E80" s="14">
        <f>+L40/E53*100</f>
        <v>3.7165483409267437</v>
      </c>
      <c r="F80" s="17" t="s">
        <v>36</v>
      </c>
      <c r="I80" s="14">
        <f>+D80-E80</f>
        <v>2.4373900316869794</v>
      </c>
      <c r="J80" s="74"/>
      <c r="K80" s="112">
        <f>+I80/E80</f>
        <v>0.65582088758172896</v>
      </c>
    </row>
    <row r="82" spans="2:14" x14ac:dyDescent="0.2">
      <c r="B82" s="25"/>
      <c r="C82" s="25"/>
      <c r="D82" s="17" t="e">
        <f>+D9-#REF!</f>
        <v>#REF!</v>
      </c>
      <c r="E82" s="17"/>
      <c r="F82" s="18"/>
      <c r="G82" s="10"/>
      <c r="H82" s="26"/>
      <c r="I82" s="81"/>
      <c r="K82" s="9"/>
      <c r="L82" s="227"/>
      <c r="M82" s="227"/>
      <c r="N82" s="227"/>
    </row>
    <row r="83" spans="2:14" x14ac:dyDescent="0.2">
      <c r="D83" s="14" t="e">
        <f>+D82/K9</f>
        <v>#REF!</v>
      </c>
    </row>
    <row r="85" spans="2:14" x14ac:dyDescent="0.2">
      <c r="I85" s="14"/>
      <c r="J85" s="74"/>
    </row>
  </sheetData>
  <mergeCells count="23">
    <mergeCell ref="P6:Q6"/>
    <mergeCell ref="R6:S6"/>
    <mergeCell ref="L82:N82"/>
    <mergeCell ref="A68:D68"/>
    <mergeCell ref="A69:D69"/>
    <mergeCell ref="E69:H69"/>
    <mergeCell ref="A70:D70"/>
    <mergeCell ref="E70:H70"/>
    <mergeCell ref="A71:B71"/>
    <mergeCell ref="A65:N65"/>
    <mergeCell ref="A6:A7"/>
    <mergeCell ref="B6:B7"/>
    <mergeCell ref="C6:C7"/>
    <mergeCell ref="G6:G7"/>
    <mergeCell ref="H6:H7"/>
    <mergeCell ref="I6:I7"/>
    <mergeCell ref="J6:J7"/>
    <mergeCell ref="N6:N7"/>
    <mergeCell ref="A1:N1"/>
    <mergeCell ref="A2:N2"/>
    <mergeCell ref="A3:N3"/>
    <mergeCell ref="A4:N4"/>
    <mergeCell ref="A5:N5"/>
  </mergeCells>
  <printOptions horizontalCentered="1"/>
  <pageMargins left="0.35433070866141736" right="0" top="0.39370078740157483" bottom="0.39370078740157483" header="0" footer="0"/>
  <pageSetup paperSize="9" scale="7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B9337DE63EBB4196184082924F21E1" ma:contentTypeVersion="18" ma:contentTypeDescription="Crear nuevo documento." ma:contentTypeScope="" ma:versionID="8d4891a26e048f09599a1423299faed6">
  <xsd:schema xmlns:xsd="http://www.w3.org/2001/XMLSchema" xmlns:xs="http://www.w3.org/2001/XMLSchema" xmlns:p="http://schemas.microsoft.com/office/2006/metadata/properties" xmlns:ns3="5259c430-9111-4fe8-9885-0482517866d7" xmlns:ns4="848c6564-7458-4a1e-985e-3daf28c914c8" targetNamespace="http://schemas.microsoft.com/office/2006/metadata/properties" ma:root="true" ma:fieldsID="1d6b6203e4612276bf9db135abf1a344" ns3:_="" ns4:_="">
    <xsd:import namespace="5259c430-9111-4fe8-9885-0482517866d7"/>
    <xsd:import namespace="848c6564-7458-4a1e-985e-3daf28c914c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9c430-9111-4fe8-9885-0482517866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c6564-7458-4a1e-985e-3daf28c91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8c6564-7458-4a1e-985e-3daf28c914c8" xsi:nil="true"/>
  </documentManagement>
</p:properties>
</file>

<file path=customXml/itemProps1.xml><?xml version="1.0" encoding="utf-8"?>
<ds:datastoreItem xmlns:ds="http://schemas.openxmlformats.org/officeDocument/2006/customXml" ds:itemID="{51DF4CF9-B007-40CB-BFE1-637883BDAE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59c430-9111-4fe8-9885-0482517866d7"/>
    <ds:schemaRef ds:uri="848c6564-7458-4a1e-985e-3daf28c914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0152A9-DAC8-421A-83E1-1C554DE029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EBBD8E-3EFF-44EE-BBFB-4C829DA7CB7C}">
  <ds:schemaRefs>
    <ds:schemaRef ds:uri="http://schemas.microsoft.com/office/infopath/2007/PartnerControls"/>
    <ds:schemaRef ds:uri="http://purl.org/dc/elements/1.1/"/>
    <ds:schemaRef ds:uri="5259c430-9111-4fe8-9885-0482517866d7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48c6564-7458-4a1e-985e-3daf28c914c8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EST SIT FINAN DICIEMB 2024-2023</vt:lpstr>
      <vt:lpstr>EST RESUL DICIEMBRE 2024-2023</vt:lpstr>
      <vt:lpstr>EST SIT FINAN JUNIO-MARZO 2024</vt:lpstr>
      <vt:lpstr>EST SIT FINAN SEP Y JUN 2024</vt:lpstr>
      <vt:lpstr>'EST RESUL DICIEMBRE 2024-2023'!Área_de_impresión</vt:lpstr>
      <vt:lpstr>'EST SIT FINAN DICIEMB 2024-2023'!Área_de_impresión</vt:lpstr>
      <vt:lpstr>'EST SIT FINAN JUNIO-MARZO 2024'!Área_de_impresión</vt:lpstr>
      <vt:lpstr>'EST SIT FINAN SEP Y JUN 2024'!Área_de_impresión</vt:lpstr>
      <vt:lpstr>'EST RESUL DICIEMBRE 2024-2023'!Títulos_a_imprimir</vt:lpstr>
      <vt:lpstr>'EST SIT FINAN DICIEMB 2024-2023'!Títulos_a_imprimir</vt:lpstr>
      <vt:lpstr>'EST SIT FINAN JUNIO-MARZO 2024'!Títulos_a_imprimir</vt:lpstr>
      <vt:lpstr>'EST SIT FINAN SEP Y JUN 2024'!Títulos_a_imprimir</vt:lpstr>
    </vt:vector>
  </TitlesOfParts>
  <Company>upn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upn</dc:creator>
  <cp:lastModifiedBy>MARY GUERRA LEGUI</cp:lastModifiedBy>
  <cp:revision/>
  <cp:lastPrinted>2025-03-14T00:34:12Z</cp:lastPrinted>
  <dcterms:created xsi:type="dcterms:W3CDTF">2009-11-14T02:04:31Z</dcterms:created>
  <dcterms:modified xsi:type="dcterms:W3CDTF">2025-03-21T19:46:32Z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0x01010098B9337DE63EBB4196184082924F21E1</vt:lpwstr>
  </property>
</Properties>
</file>