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rram.UPN.000\Downloads\"/>
    </mc:Choice>
  </mc:AlternateContent>
  <xr:revisionPtr revIDLastSave="0" documentId="13_ncr:1_{0AD29B71-B701-43CD-9FC8-0219FC2BB0A1}" xr6:coauthVersionLast="36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EST SIT FINAN MARZO 2025-2024" sheetId="10" r:id="rId1"/>
    <sheet name="EST RESUL MARZO 2025-2024" sheetId="6" r:id="rId2"/>
    <sheet name="EST SIT FINAN DIC - MARZO 2025" sheetId="12" r:id="rId3"/>
    <sheet name="EST SIT FINAN SEP Y JUN 2023" sheetId="11" state="hidden" r:id="rId4"/>
  </sheets>
  <definedNames>
    <definedName name="_xlnm.Print_Area" localSheetId="1">'EST RESUL MARZO 2025-2024'!$A$1:$G$79</definedName>
    <definedName name="_xlnm.Print_Area" localSheetId="2">'EST SIT FINAN DIC - MARZO 2025'!$A$8:$N$67</definedName>
    <definedName name="_xlnm.Print_Area" localSheetId="0">'EST SIT FINAN MARZO 2025-2024'!$A$8:$N$67</definedName>
    <definedName name="_xlnm.Print_Area" localSheetId="3">'EST SIT FINAN SEP Y JUN 2023'!$A$8:$N$73</definedName>
    <definedName name="_xlnm.Print_Titles" localSheetId="1">'EST RESUL MARZO 2025-2024'!$1:$9</definedName>
    <definedName name="_xlnm.Print_Titles" localSheetId="2">'EST SIT FINAN DIC - MARZO 2025'!$1:$7</definedName>
    <definedName name="_xlnm.Print_Titles" localSheetId="0">'EST SIT FINAN MARZO 2025-2024'!$1:$7</definedName>
    <definedName name="_xlnm.Print_Titles" localSheetId="3">'EST SIT FINAN SEP Y JUN 2023'!$1:$7</definedName>
  </definedNames>
  <calcPr calcId="191029" refMode="R1C1"/>
</workbook>
</file>

<file path=xl/calcChain.xml><?xml version="1.0" encoding="utf-8"?>
<calcChain xmlns="http://schemas.openxmlformats.org/spreadsheetml/2006/main">
  <c r="M65" i="12" l="1"/>
  <c r="N65" i="12" s="1"/>
  <c r="M64" i="12"/>
  <c r="N64" i="12" s="1"/>
  <c r="F64" i="12"/>
  <c r="G64" i="12" s="1"/>
  <c r="L63" i="12"/>
  <c r="K63" i="12"/>
  <c r="F63" i="12"/>
  <c r="E63" i="12"/>
  <c r="D63" i="12"/>
  <c r="M62" i="12"/>
  <c r="M61" i="12"/>
  <c r="L60" i="12"/>
  <c r="K60" i="12"/>
  <c r="M59" i="12"/>
  <c r="N59" i="12" s="1"/>
  <c r="M58" i="12"/>
  <c r="N58" i="12" s="1"/>
  <c r="F58" i="12"/>
  <c r="G58" i="12" s="1"/>
  <c r="M57" i="12"/>
  <c r="N57" i="12" s="1"/>
  <c r="F57" i="12"/>
  <c r="L56" i="12"/>
  <c r="K56" i="12"/>
  <c r="K55" i="12" s="1"/>
  <c r="E56" i="12"/>
  <c r="D56" i="12"/>
  <c r="F53" i="12"/>
  <c r="G53" i="12" s="1"/>
  <c r="F52" i="12"/>
  <c r="G52" i="12" s="1"/>
  <c r="F51" i="12"/>
  <c r="G51" i="12" s="1"/>
  <c r="R50" i="12"/>
  <c r="F50" i="12"/>
  <c r="R49" i="12"/>
  <c r="M49" i="12"/>
  <c r="N49" i="12" s="1"/>
  <c r="E49" i="12"/>
  <c r="D49" i="12"/>
  <c r="M48" i="12"/>
  <c r="N48" i="12" s="1"/>
  <c r="F48" i="12"/>
  <c r="G48" i="12" s="1"/>
  <c r="R47" i="12"/>
  <c r="E47" i="12"/>
  <c r="D47" i="12"/>
  <c r="F46" i="12"/>
  <c r="F45" i="12"/>
  <c r="G45" i="12" s="1"/>
  <c r="F44" i="12"/>
  <c r="G44" i="12" s="1"/>
  <c r="F43" i="12"/>
  <c r="G43" i="12" s="1"/>
  <c r="F42" i="12"/>
  <c r="G42" i="12" s="1"/>
  <c r="F41" i="12"/>
  <c r="G41" i="12" s="1"/>
  <c r="G40" i="12"/>
  <c r="F40" i="12"/>
  <c r="F39" i="12"/>
  <c r="G39" i="12" s="1"/>
  <c r="P38" i="12"/>
  <c r="M38" i="12"/>
  <c r="N38" i="12" s="1"/>
  <c r="F38" i="12"/>
  <c r="G38" i="12" s="1"/>
  <c r="M37" i="12"/>
  <c r="L37" i="12"/>
  <c r="K37" i="12"/>
  <c r="K32" i="12" s="1"/>
  <c r="F37" i="12"/>
  <c r="G37" i="12" s="1"/>
  <c r="F36" i="12"/>
  <c r="G36" i="12" s="1"/>
  <c r="R35" i="12"/>
  <c r="M35" i="12"/>
  <c r="N35" i="12" s="1"/>
  <c r="F35" i="12"/>
  <c r="G35" i="12" s="1"/>
  <c r="L34" i="12"/>
  <c r="L32" i="12" s="1"/>
  <c r="K34" i="12"/>
  <c r="F34" i="12"/>
  <c r="G34" i="12" s="1"/>
  <c r="F33" i="12"/>
  <c r="G33" i="12" s="1"/>
  <c r="E32" i="12"/>
  <c r="E28" i="12" s="1"/>
  <c r="D32" i="12"/>
  <c r="P53" i="12" s="1"/>
  <c r="F31" i="12"/>
  <c r="G31" i="12" s="1"/>
  <c r="F30" i="12"/>
  <c r="G30" i="12" s="1"/>
  <c r="E29" i="12"/>
  <c r="D29" i="12"/>
  <c r="M28" i="12"/>
  <c r="N28" i="12" s="1"/>
  <c r="M27" i="12"/>
  <c r="M26" i="12"/>
  <c r="N26" i="12" s="1"/>
  <c r="F26" i="12"/>
  <c r="L25" i="12"/>
  <c r="K25" i="12"/>
  <c r="S28" i="12" s="1"/>
  <c r="E25" i="12"/>
  <c r="D25" i="12"/>
  <c r="F24" i="12"/>
  <c r="G24" i="12" s="1"/>
  <c r="P23" i="12"/>
  <c r="F23" i="12"/>
  <c r="G23" i="12" s="1"/>
  <c r="P22" i="12"/>
  <c r="M22" i="12"/>
  <c r="N22" i="12" s="1"/>
  <c r="F22" i="12"/>
  <c r="G22" i="12" s="1"/>
  <c r="P21" i="12"/>
  <c r="M21" i="12"/>
  <c r="L21" i="12"/>
  <c r="K21" i="12"/>
  <c r="S24" i="12" s="1"/>
  <c r="E21" i="12"/>
  <c r="D21" i="12"/>
  <c r="M19" i="12"/>
  <c r="N19" i="12" s="1"/>
  <c r="F19" i="12"/>
  <c r="G19" i="12" s="1"/>
  <c r="S18" i="12"/>
  <c r="M18" i="12"/>
  <c r="L18" i="12"/>
  <c r="K18" i="12"/>
  <c r="S21" i="12" s="1"/>
  <c r="F18" i="12"/>
  <c r="G18" i="12" s="1"/>
  <c r="P17" i="12"/>
  <c r="F17" i="12"/>
  <c r="G17" i="12" s="1"/>
  <c r="M16" i="12"/>
  <c r="N16" i="12" s="1"/>
  <c r="F16" i="12"/>
  <c r="M15" i="12"/>
  <c r="N15" i="12" s="1"/>
  <c r="E15" i="12"/>
  <c r="D15" i="12"/>
  <c r="M14" i="12"/>
  <c r="N14" i="12" s="1"/>
  <c r="M13" i="12"/>
  <c r="N13" i="12" s="1"/>
  <c r="F13" i="12"/>
  <c r="G13" i="12" s="1"/>
  <c r="M12" i="12"/>
  <c r="N12" i="12" s="1"/>
  <c r="F12" i="12"/>
  <c r="G12" i="12" s="1"/>
  <c r="M11" i="12"/>
  <c r="N11" i="12" s="1"/>
  <c r="F11" i="12"/>
  <c r="L10" i="12"/>
  <c r="K10" i="12"/>
  <c r="K9" i="12" s="1"/>
  <c r="K40" i="12" s="1"/>
  <c r="E10" i="12"/>
  <c r="D10" i="12"/>
  <c r="F21" i="6"/>
  <c r="D9" i="12" l="1"/>
  <c r="D55" i="12"/>
  <c r="F10" i="12"/>
  <c r="F49" i="12"/>
  <c r="G49" i="12" s="1"/>
  <c r="P48" i="12"/>
  <c r="F47" i="12"/>
  <c r="G47" i="12" s="1"/>
  <c r="D28" i="12"/>
  <c r="D54" i="12" s="1"/>
  <c r="P43" i="12"/>
  <c r="P47" i="12"/>
  <c r="P51" i="12"/>
  <c r="L55" i="12"/>
  <c r="P49" i="12"/>
  <c r="M60" i="12"/>
  <c r="N60" i="12" s="1"/>
  <c r="F15" i="12"/>
  <c r="G15" i="12" s="1"/>
  <c r="P52" i="12"/>
  <c r="N37" i="12"/>
  <c r="P41" i="12"/>
  <c r="P50" i="12"/>
  <c r="G10" i="12"/>
  <c r="P31" i="12"/>
  <c r="P25" i="12"/>
  <c r="P13" i="12"/>
  <c r="P16" i="12"/>
  <c r="P9" i="12"/>
  <c r="N21" i="12"/>
  <c r="N18" i="12"/>
  <c r="E55" i="12"/>
  <c r="N61" i="12"/>
  <c r="G63" i="12"/>
  <c r="G26" i="12"/>
  <c r="F25" i="12"/>
  <c r="G25" i="12" s="1"/>
  <c r="R13" i="12"/>
  <c r="R19" i="12"/>
  <c r="M63" i="12"/>
  <c r="N63" i="12" s="1"/>
  <c r="L9" i="12"/>
  <c r="L40" i="12" s="1"/>
  <c r="P12" i="12"/>
  <c r="R17" i="12"/>
  <c r="F21" i="12"/>
  <c r="F32" i="12"/>
  <c r="G32" i="12" s="1"/>
  <c r="M34" i="12"/>
  <c r="E9" i="12"/>
  <c r="M10" i="12"/>
  <c r="S12" i="12"/>
  <c r="R15" i="12"/>
  <c r="R16" i="12"/>
  <c r="R18" i="12"/>
  <c r="N27" i="12"/>
  <c r="M25" i="12"/>
  <c r="N25" i="12" s="1"/>
  <c r="F29" i="12"/>
  <c r="F56" i="12"/>
  <c r="G57" i="12"/>
  <c r="M56" i="12"/>
  <c r="M55" i="12" l="1"/>
  <c r="N56" i="12"/>
  <c r="G29" i="12"/>
  <c r="F28" i="12"/>
  <c r="G28" i="12" s="1"/>
  <c r="E54" i="12"/>
  <c r="G21" i="12"/>
  <c r="F9" i="12"/>
  <c r="Q43" i="12"/>
  <c r="Q55" i="12"/>
  <c r="P40" i="12"/>
  <c r="G56" i="12"/>
  <c r="F55" i="12"/>
  <c r="N34" i="12"/>
  <c r="M32" i="12"/>
  <c r="N32" i="12" s="1"/>
  <c r="Q9" i="12"/>
  <c r="N10" i="12"/>
  <c r="M9" i="12"/>
  <c r="M40" i="12" l="1"/>
  <c r="N9" i="12"/>
  <c r="F54" i="12"/>
  <c r="G54" i="12" s="1"/>
  <c r="G9" i="12"/>
  <c r="N40" i="12" l="1"/>
  <c r="E15" i="10" l="1"/>
  <c r="D15" i="10"/>
  <c r="F18" i="10"/>
  <c r="G18" i="10" s="1"/>
  <c r="F17" i="10"/>
  <c r="G17" i="10" s="1"/>
  <c r="F16" i="10"/>
  <c r="E18" i="6"/>
  <c r="G21" i="6"/>
  <c r="F74" i="6" l="1"/>
  <c r="M62" i="10" l="1"/>
  <c r="L60" i="10"/>
  <c r="K60" i="10"/>
  <c r="D18" i="6"/>
  <c r="E20" i="6"/>
  <c r="D20" i="6"/>
  <c r="E49" i="10" l="1"/>
  <c r="D49" i="10"/>
  <c r="F51" i="10"/>
  <c r="G51" i="10" s="1"/>
  <c r="F52" i="10"/>
  <c r="G52" i="10" s="1"/>
  <c r="F53" i="10"/>
  <c r="G53" i="10" s="1"/>
  <c r="E32" i="10"/>
  <c r="D32" i="10"/>
  <c r="F46" i="10"/>
  <c r="F26" i="10"/>
  <c r="G26" i="10" s="1"/>
  <c r="E25" i="10"/>
  <c r="D25" i="10"/>
  <c r="F24" i="10"/>
  <c r="G24" i="10" s="1"/>
  <c r="F23" i="10"/>
  <c r="G23" i="10" s="1"/>
  <c r="F22" i="10"/>
  <c r="G22" i="10" s="1"/>
  <c r="E21" i="10"/>
  <c r="D21" i="10"/>
  <c r="F19" i="10"/>
  <c r="G19" i="10" l="1"/>
  <c r="F15" i="10"/>
  <c r="G15" i="10" s="1"/>
  <c r="F25" i="10"/>
  <c r="G25" i="10" s="1"/>
  <c r="F21" i="10"/>
  <c r="G21" i="10" s="1"/>
  <c r="M38" i="10" l="1"/>
  <c r="N38" i="10" s="1"/>
  <c r="L37" i="10"/>
  <c r="K37" i="10"/>
  <c r="M37" i="10" l="1"/>
  <c r="N37" i="10" s="1"/>
  <c r="F48" i="6" l="1"/>
  <c r="G48" i="6" s="1"/>
  <c r="D14" i="6"/>
  <c r="E14" i="6"/>
  <c r="F15" i="6"/>
  <c r="F50" i="10"/>
  <c r="M65" i="10" l="1"/>
  <c r="N65" i="10" s="1"/>
  <c r="M57" i="11" l="1"/>
  <c r="N57" i="11" s="1"/>
  <c r="M63" i="11"/>
  <c r="M62" i="11"/>
  <c r="F62" i="11"/>
  <c r="F61" i="11" s="1"/>
  <c r="L61" i="11"/>
  <c r="K61" i="11"/>
  <c r="E61" i="11"/>
  <c r="D61" i="11"/>
  <c r="M60" i="11"/>
  <c r="M59" i="11" s="1"/>
  <c r="L59" i="11"/>
  <c r="K59" i="11"/>
  <c r="F57" i="11"/>
  <c r="G57" i="11" s="1"/>
  <c r="M56" i="11"/>
  <c r="N56" i="11" s="1"/>
  <c r="F56" i="11"/>
  <c r="G56" i="11" s="1"/>
  <c r="L55" i="11"/>
  <c r="K55" i="11"/>
  <c r="E55" i="11"/>
  <c r="D55" i="11"/>
  <c r="F52" i="11"/>
  <c r="G52" i="11" s="1"/>
  <c r="F51" i="11"/>
  <c r="G51" i="11" s="1"/>
  <c r="F50" i="11"/>
  <c r="R49" i="11"/>
  <c r="L46" i="11"/>
  <c r="L44" i="11" s="1"/>
  <c r="R48" i="11"/>
  <c r="M48" i="11"/>
  <c r="N48" i="11" s="1"/>
  <c r="E48" i="11"/>
  <c r="D48" i="11"/>
  <c r="M47" i="11"/>
  <c r="F47" i="11"/>
  <c r="G47" i="11" s="1"/>
  <c r="R46" i="11"/>
  <c r="E46" i="11"/>
  <c r="D46" i="11"/>
  <c r="F45" i="11"/>
  <c r="G45" i="11" s="1"/>
  <c r="F44" i="11"/>
  <c r="G44" i="11" s="1"/>
  <c r="F43" i="11"/>
  <c r="G43" i="11" s="1"/>
  <c r="F42" i="11"/>
  <c r="G42" i="11" s="1"/>
  <c r="F41" i="11"/>
  <c r="G41" i="11" s="1"/>
  <c r="F40" i="11"/>
  <c r="G40" i="11" s="1"/>
  <c r="F39" i="11"/>
  <c r="G39" i="11" s="1"/>
  <c r="P38" i="11"/>
  <c r="F38" i="11"/>
  <c r="G38" i="11" s="1"/>
  <c r="F37" i="11"/>
  <c r="G37" i="11" s="1"/>
  <c r="F36" i="11"/>
  <c r="G36" i="11" s="1"/>
  <c r="R35" i="11"/>
  <c r="M35" i="11"/>
  <c r="N35" i="11" s="1"/>
  <c r="F35" i="11"/>
  <c r="G35" i="11" s="1"/>
  <c r="L34" i="11"/>
  <c r="K34" i="11"/>
  <c r="F34" i="11"/>
  <c r="G34" i="11" s="1"/>
  <c r="F33" i="11"/>
  <c r="K32" i="11"/>
  <c r="E32" i="11"/>
  <c r="D32" i="11"/>
  <c r="P41" i="11" s="1"/>
  <c r="F31" i="11"/>
  <c r="G31" i="11" s="1"/>
  <c r="F30" i="11"/>
  <c r="F29" i="11" s="1"/>
  <c r="E29" i="11"/>
  <c r="D29" i="11"/>
  <c r="M28" i="11"/>
  <c r="N28" i="11" s="1"/>
  <c r="M27" i="11"/>
  <c r="N27" i="11" s="1"/>
  <c r="F27" i="11"/>
  <c r="G27" i="11" s="1"/>
  <c r="M26" i="11"/>
  <c r="N26" i="11" s="1"/>
  <c r="E26" i="11"/>
  <c r="D26" i="11"/>
  <c r="L25" i="11"/>
  <c r="K25" i="11"/>
  <c r="S28" i="11" s="1"/>
  <c r="F25" i="11"/>
  <c r="G25" i="11" s="1"/>
  <c r="F24" i="11"/>
  <c r="G24" i="11" s="1"/>
  <c r="P23" i="11"/>
  <c r="F23" i="11"/>
  <c r="G23" i="11" s="1"/>
  <c r="P22" i="11"/>
  <c r="M22" i="11"/>
  <c r="N22" i="11" s="1"/>
  <c r="E22" i="11"/>
  <c r="D22" i="11"/>
  <c r="P21" i="11"/>
  <c r="L21" i="11"/>
  <c r="K21" i="11"/>
  <c r="S24" i="11" s="1"/>
  <c r="F21" i="11"/>
  <c r="G21" i="11" s="1"/>
  <c r="F20" i="11"/>
  <c r="G20" i="11" s="1"/>
  <c r="M19" i="11"/>
  <c r="M18" i="11" s="1"/>
  <c r="N18" i="11" s="1"/>
  <c r="F19" i="11"/>
  <c r="G19" i="11" s="1"/>
  <c r="S18" i="11"/>
  <c r="L18" i="11"/>
  <c r="K18" i="11"/>
  <c r="S21" i="11" s="1"/>
  <c r="F18" i="11"/>
  <c r="P17" i="11"/>
  <c r="M16" i="11"/>
  <c r="N16" i="11" s="1"/>
  <c r="E16" i="11"/>
  <c r="D16" i="11"/>
  <c r="M15" i="11"/>
  <c r="N15" i="11" s="1"/>
  <c r="F15" i="11"/>
  <c r="F14" i="11" s="1"/>
  <c r="M14" i="11"/>
  <c r="N14" i="11" s="1"/>
  <c r="E14" i="11"/>
  <c r="D14" i="11"/>
  <c r="M13" i="11"/>
  <c r="N13" i="11" s="1"/>
  <c r="F13" i="11"/>
  <c r="G13" i="11" s="1"/>
  <c r="M12" i="11"/>
  <c r="N12" i="11" s="1"/>
  <c r="F12" i="11"/>
  <c r="G12" i="11" s="1"/>
  <c r="M11" i="11"/>
  <c r="N11" i="11" s="1"/>
  <c r="F11" i="11"/>
  <c r="G11" i="11" s="1"/>
  <c r="L10" i="11"/>
  <c r="K10" i="11"/>
  <c r="R13" i="11" s="1"/>
  <c r="E10" i="11"/>
  <c r="D10" i="11"/>
  <c r="M34" i="11" l="1"/>
  <c r="G61" i="11"/>
  <c r="G14" i="11"/>
  <c r="D54" i="11"/>
  <c r="K9" i="11"/>
  <c r="D9" i="11"/>
  <c r="N34" i="11"/>
  <c r="G15" i="11"/>
  <c r="K54" i="11"/>
  <c r="F46" i="11"/>
  <c r="G46" i="11" s="1"/>
  <c r="D28" i="11"/>
  <c r="M61" i="11"/>
  <c r="N61" i="11" s="1"/>
  <c r="M55" i="11"/>
  <c r="N55" i="11" s="1"/>
  <c r="L54" i="11"/>
  <c r="K40" i="11"/>
  <c r="M32" i="11"/>
  <c r="N32" i="11" s="1"/>
  <c r="L32" i="11"/>
  <c r="M25" i="11"/>
  <c r="N25" i="11" s="1"/>
  <c r="M21" i="11"/>
  <c r="N21" i="11" s="1"/>
  <c r="L9" i="11"/>
  <c r="N19" i="11"/>
  <c r="G62" i="11"/>
  <c r="E54" i="11"/>
  <c r="D53" i="11"/>
  <c r="E28" i="11"/>
  <c r="F32" i="11"/>
  <c r="G32" i="11" s="1"/>
  <c r="F16" i="11"/>
  <c r="G16" i="11" s="1"/>
  <c r="P12" i="11"/>
  <c r="E9" i="11"/>
  <c r="F10" i="11"/>
  <c r="G10" i="11" s="1"/>
  <c r="G29" i="11"/>
  <c r="Q54" i="11"/>
  <c r="M10" i="11"/>
  <c r="G18" i="11"/>
  <c r="P46" i="11"/>
  <c r="P52" i="11"/>
  <c r="R15" i="11"/>
  <c r="R16" i="11"/>
  <c r="F48" i="11"/>
  <c r="G48" i="11" s="1"/>
  <c r="P50" i="11"/>
  <c r="F55" i="11"/>
  <c r="N62" i="11"/>
  <c r="P9" i="11"/>
  <c r="P13" i="11"/>
  <c r="F22" i="11"/>
  <c r="G22" i="11" s="1"/>
  <c r="G30" i="11"/>
  <c r="D78" i="11"/>
  <c r="Q9" i="11"/>
  <c r="S12" i="11"/>
  <c r="R19" i="11"/>
  <c r="P31" i="11"/>
  <c r="D77" i="11"/>
  <c r="R18" i="11"/>
  <c r="G33" i="11"/>
  <c r="N47" i="11"/>
  <c r="P51" i="11"/>
  <c r="F26" i="11"/>
  <c r="G26" i="11" s="1"/>
  <c r="R17" i="11"/>
  <c r="P40" i="11"/>
  <c r="P43" i="11"/>
  <c r="P47" i="11"/>
  <c r="P48" i="11"/>
  <c r="P49" i="11"/>
  <c r="Q43" i="11"/>
  <c r="D82" i="11"/>
  <c r="D83" i="11" s="1"/>
  <c r="P16" i="11"/>
  <c r="P25" i="11"/>
  <c r="M54" i="11" l="1"/>
  <c r="L40" i="11"/>
  <c r="L53" i="11" s="1"/>
  <c r="D80" i="11"/>
  <c r="E77" i="11"/>
  <c r="I77" i="11" s="1"/>
  <c r="K77" i="11" s="1"/>
  <c r="F28" i="11"/>
  <c r="G28" i="11" s="1"/>
  <c r="E53" i="11"/>
  <c r="E80" i="11" s="1"/>
  <c r="E78" i="11"/>
  <c r="I78" i="11" s="1"/>
  <c r="K78" i="11" s="1"/>
  <c r="F9" i="11"/>
  <c r="G55" i="11"/>
  <c r="F54" i="11"/>
  <c r="M9" i="11"/>
  <c r="N10" i="11"/>
  <c r="I80" i="11" l="1"/>
  <c r="K80" i="11" s="1"/>
  <c r="M40" i="11"/>
  <c r="N9" i="11"/>
  <c r="F53" i="11"/>
  <c r="G53" i="11" s="1"/>
  <c r="G9" i="11"/>
  <c r="N40" i="11" l="1"/>
  <c r="E62" i="6" l="1"/>
  <c r="D62" i="6"/>
  <c r="M61" i="10" l="1"/>
  <c r="N61" i="10" l="1"/>
  <c r="M60" i="10"/>
  <c r="N60" i="10" s="1"/>
  <c r="F12" i="10" l="1"/>
  <c r="G12" i="10" s="1"/>
  <c r="F13" i="10"/>
  <c r="G13" i="10" s="1"/>
  <c r="D10" i="10" l="1"/>
  <c r="D9" i="10" s="1"/>
  <c r="F11" i="10"/>
  <c r="G11" i="10" s="1"/>
  <c r="M48" i="10" l="1"/>
  <c r="N48" i="10" s="1"/>
  <c r="M49" i="10"/>
  <c r="N49" i="10" s="1"/>
  <c r="M35" i="10"/>
  <c r="N35" i="10" s="1"/>
  <c r="E29" i="10"/>
  <c r="D29" i="10"/>
  <c r="F31" i="10"/>
  <c r="G31" i="10" s="1"/>
  <c r="F30" i="10"/>
  <c r="G30" i="10" s="1"/>
  <c r="F29" i="10" l="1"/>
  <c r="G29" i="10" s="1"/>
  <c r="F71" i="6" l="1"/>
  <c r="G71" i="6" s="1"/>
  <c r="F33" i="10" l="1"/>
  <c r="F34" i="10"/>
  <c r="G34" i="10" s="1"/>
  <c r="F35" i="10"/>
  <c r="G35" i="10" s="1"/>
  <c r="F36" i="10"/>
  <c r="G36" i="10" s="1"/>
  <c r="F37" i="10"/>
  <c r="G37" i="10" s="1"/>
  <c r="F38" i="10"/>
  <c r="G38" i="10" s="1"/>
  <c r="F39" i="10"/>
  <c r="G39" i="10" s="1"/>
  <c r="F40" i="10"/>
  <c r="G40" i="10" s="1"/>
  <c r="F41" i="10"/>
  <c r="G41" i="10" s="1"/>
  <c r="F42" i="10"/>
  <c r="G42" i="10" s="1"/>
  <c r="F43" i="10"/>
  <c r="G43" i="10" s="1"/>
  <c r="F44" i="10"/>
  <c r="G44" i="10" s="1"/>
  <c r="F45" i="10"/>
  <c r="G45" i="10" s="1"/>
  <c r="D47" i="10"/>
  <c r="E47" i="10"/>
  <c r="F48" i="10"/>
  <c r="G48" i="10" s="1"/>
  <c r="D56" i="10"/>
  <c r="E56" i="10"/>
  <c r="F57" i="10"/>
  <c r="G57" i="10" s="1"/>
  <c r="F58" i="10"/>
  <c r="G58" i="10" s="1"/>
  <c r="D63" i="10"/>
  <c r="E63" i="10"/>
  <c r="F64" i="10"/>
  <c r="G64" i="10" s="1"/>
  <c r="D24" i="6"/>
  <c r="G33" i="10" l="1"/>
  <c r="F32" i="10"/>
  <c r="G32" i="10" s="1"/>
  <c r="E28" i="10"/>
  <c r="D28" i="10"/>
  <c r="F56" i="10"/>
  <c r="G56" i="10" s="1"/>
  <c r="E55" i="10"/>
  <c r="D55" i="10"/>
  <c r="F63" i="10"/>
  <c r="G63" i="10" s="1"/>
  <c r="F49" i="10"/>
  <c r="G49" i="10" s="1"/>
  <c r="F47" i="10"/>
  <c r="G47" i="10" s="1"/>
  <c r="K34" i="10"/>
  <c r="L34" i="10"/>
  <c r="M34" i="10"/>
  <c r="F28" i="10" l="1"/>
  <c r="G28" i="10" s="1"/>
  <c r="L32" i="10"/>
  <c r="K32" i="10"/>
  <c r="F55" i="10"/>
  <c r="M32" i="10"/>
  <c r="N34" i="10"/>
  <c r="N32" i="10" l="1"/>
  <c r="K18" i="10" l="1"/>
  <c r="L18" i="10"/>
  <c r="L25" i="10"/>
  <c r="K25" i="10"/>
  <c r="M28" i="10"/>
  <c r="N28" i="10" s="1"/>
  <c r="M27" i="10"/>
  <c r="N27" i="10" s="1"/>
  <c r="M26" i="10"/>
  <c r="N26" i="10" s="1"/>
  <c r="M25" i="10" l="1"/>
  <c r="M59" i="10"/>
  <c r="N59" i="10" s="1"/>
  <c r="L56" i="10"/>
  <c r="K56" i="10"/>
  <c r="D52" i="6" l="1"/>
  <c r="E52" i="6"/>
  <c r="F53" i="6"/>
  <c r="G53" i="6" s="1"/>
  <c r="D42" i="6" l="1"/>
  <c r="D40" i="6" s="1"/>
  <c r="D70" i="6"/>
  <c r="D69" i="6" s="1"/>
  <c r="M69" i="6" s="1"/>
  <c r="K16" i="6"/>
  <c r="L16" i="6" s="1"/>
  <c r="P16" i="6" s="1"/>
  <c r="K22" i="6"/>
  <c r="L22" i="6" s="1"/>
  <c r="P22" i="6" s="1"/>
  <c r="D28" i="6"/>
  <c r="D10" i="6" s="1"/>
  <c r="D61" i="6"/>
  <c r="E24" i="6"/>
  <c r="E28" i="6"/>
  <c r="E34" i="6"/>
  <c r="E37" i="6"/>
  <c r="E42" i="6"/>
  <c r="E40" i="6" s="1"/>
  <c r="E61" i="6"/>
  <c r="E70" i="6"/>
  <c r="E69" i="6" s="1"/>
  <c r="D34" i="6"/>
  <c r="K32" i="6" s="1"/>
  <c r="L32" i="6" s="1"/>
  <c r="P32" i="6" s="1"/>
  <c r="D37" i="6"/>
  <c r="F73" i="6"/>
  <c r="G73" i="6" s="1"/>
  <c r="F38" i="6"/>
  <c r="F37" i="6" s="1"/>
  <c r="M64" i="10"/>
  <c r="M63" i="10" s="1"/>
  <c r="L63" i="10"/>
  <c r="L55" i="10" s="1"/>
  <c r="K63" i="10"/>
  <c r="K55" i="10" s="1"/>
  <c r="M58" i="10"/>
  <c r="N58" i="10" s="1"/>
  <c r="M57" i="10"/>
  <c r="F72" i="6"/>
  <c r="G72" i="6" s="1"/>
  <c r="F67" i="6"/>
  <c r="G67" i="6" s="1"/>
  <c r="F30" i="6"/>
  <c r="G30" i="6" s="1"/>
  <c r="M16" i="10"/>
  <c r="N16" i="10" s="1"/>
  <c r="E10" i="10"/>
  <c r="E9" i="10" s="1"/>
  <c r="F57" i="6"/>
  <c r="G57" i="6" s="1"/>
  <c r="F54" i="6"/>
  <c r="G54" i="6" s="1"/>
  <c r="F29" i="6"/>
  <c r="G29" i="6" s="1"/>
  <c r="F56" i="6"/>
  <c r="G56" i="6" s="1"/>
  <c r="F55" i="6"/>
  <c r="G55" i="6" s="1"/>
  <c r="F50" i="6"/>
  <c r="G50" i="6" s="1"/>
  <c r="F49" i="6"/>
  <c r="G49" i="6" s="1"/>
  <c r="M15" i="10"/>
  <c r="N15" i="10" s="1"/>
  <c r="L10" i="10"/>
  <c r="K10" i="10"/>
  <c r="R19" i="10" s="1"/>
  <c r="P43" i="10"/>
  <c r="D54" i="10"/>
  <c r="M22" i="10"/>
  <c r="M21" i="10" s="1"/>
  <c r="L21" i="10"/>
  <c r="K21" i="10"/>
  <c r="M19" i="10"/>
  <c r="M18" i="10" s="1"/>
  <c r="M14" i="10"/>
  <c r="N14" i="10" s="1"/>
  <c r="P22" i="10"/>
  <c r="M13" i="10"/>
  <c r="N13" i="10" s="1"/>
  <c r="M12" i="10"/>
  <c r="N12" i="10" s="1"/>
  <c r="M11" i="10"/>
  <c r="N11" i="10" s="1"/>
  <c r="P23" i="10"/>
  <c r="P17" i="10"/>
  <c r="P21" i="10"/>
  <c r="F75" i="6"/>
  <c r="G75" i="6" s="1"/>
  <c r="F66" i="6"/>
  <c r="G66" i="6" s="1"/>
  <c r="F64" i="6"/>
  <c r="F47" i="6"/>
  <c r="G47" i="6" s="1"/>
  <c r="F46" i="6"/>
  <c r="G46" i="6" s="1"/>
  <c r="F45" i="6"/>
  <c r="G45" i="6" s="1"/>
  <c r="F44" i="6"/>
  <c r="G44" i="6" s="1"/>
  <c r="F43" i="6"/>
  <c r="G43" i="6" s="1"/>
  <c r="F35" i="6"/>
  <c r="G35" i="6" s="1"/>
  <c r="F26" i="6"/>
  <c r="G26" i="6" s="1"/>
  <c r="F25" i="6"/>
  <c r="G25" i="6" s="1"/>
  <c r="F19" i="6"/>
  <c r="G19" i="6" s="1"/>
  <c r="F16" i="6"/>
  <c r="F14" i="6" s="1"/>
  <c r="J79" i="6"/>
  <c r="K71" i="6"/>
  <c r="L71" i="6" s="1"/>
  <c r="P71" i="6" s="1"/>
  <c r="K66" i="6"/>
  <c r="L66" i="6" s="1"/>
  <c r="P66" i="6" s="1"/>
  <c r="K65" i="6"/>
  <c r="L65" i="6" s="1"/>
  <c r="P65" i="6" s="1"/>
  <c r="P63" i="6"/>
  <c r="K63" i="6"/>
  <c r="K57" i="6"/>
  <c r="L57" i="6" s="1"/>
  <c r="P57" i="6" s="1"/>
  <c r="P55" i="6"/>
  <c r="K55" i="6"/>
  <c r="K52" i="6"/>
  <c r="L52" i="6" s="1"/>
  <c r="P52" i="6" s="1"/>
  <c r="K51" i="6"/>
  <c r="L51" i="6" s="1"/>
  <c r="P51" i="6" s="1"/>
  <c r="P50" i="6"/>
  <c r="K50" i="6"/>
  <c r="K49" i="6"/>
  <c r="L49" i="6" s="1"/>
  <c r="P49" i="6" s="1"/>
  <c r="K47" i="6"/>
  <c r="L47" i="6" s="1"/>
  <c r="P47" i="6" s="1"/>
  <c r="K45" i="6"/>
  <c r="L45" i="6" s="1"/>
  <c r="P45" i="6" s="1"/>
  <c r="K43" i="6"/>
  <c r="L43" i="6" s="1"/>
  <c r="P43" i="6" s="1"/>
  <c r="K42" i="6"/>
  <c r="L42" i="6" s="1"/>
  <c r="P42" i="6" s="1"/>
  <c r="M47" i="6"/>
  <c r="P40" i="6"/>
  <c r="K40" i="6"/>
  <c r="P38" i="6"/>
  <c r="K38" i="6"/>
  <c r="K37" i="6"/>
  <c r="L37" i="6" s="1"/>
  <c r="P37" i="6" s="1"/>
  <c r="K36" i="6"/>
  <c r="L36" i="6" s="1"/>
  <c r="P36" i="6" s="1"/>
  <c r="K34" i="6"/>
  <c r="L34" i="6" s="1"/>
  <c r="P34" i="6" s="1"/>
  <c r="K33" i="6"/>
  <c r="L33" i="6" s="1"/>
  <c r="P33" i="6" s="1"/>
  <c r="P30" i="6"/>
  <c r="K30" i="6"/>
  <c r="P28" i="6"/>
  <c r="K28" i="6"/>
  <c r="K25" i="6"/>
  <c r="L25" i="6" s="1"/>
  <c r="P25" i="6" s="1"/>
  <c r="K24" i="6"/>
  <c r="L24" i="6" s="1"/>
  <c r="P24" i="6" s="1"/>
  <c r="P23" i="6"/>
  <c r="K23" i="6"/>
  <c r="K19" i="6"/>
  <c r="L19" i="6" s="1"/>
  <c r="P19" i="6" s="1"/>
  <c r="K18" i="6"/>
  <c r="L18" i="6" s="1"/>
  <c r="P18" i="6" s="1"/>
  <c r="P17" i="6"/>
  <c r="K17" i="6"/>
  <c r="K14" i="6"/>
  <c r="L14" i="6" s="1"/>
  <c r="P14" i="6" s="1"/>
  <c r="K13" i="6"/>
  <c r="L13" i="6" s="1"/>
  <c r="P13" i="6" s="1"/>
  <c r="P11" i="6"/>
  <c r="K11" i="6"/>
  <c r="K64" i="6"/>
  <c r="L64" i="6" s="1"/>
  <c r="P64" i="6" s="1"/>
  <c r="M64" i="6"/>
  <c r="M65" i="6"/>
  <c r="M66" i="6"/>
  <c r="M71" i="6"/>
  <c r="K39" i="6"/>
  <c r="L39" i="6" s="1"/>
  <c r="P39" i="6" s="1"/>
  <c r="K41" i="6"/>
  <c r="L41" i="6" s="1"/>
  <c r="P41" i="6" s="1"/>
  <c r="M41" i="6"/>
  <c r="M42" i="6"/>
  <c r="M43" i="6"/>
  <c r="M45" i="6"/>
  <c r="M57" i="6"/>
  <c r="K12" i="6"/>
  <c r="L12" i="6" s="1"/>
  <c r="P12" i="6" s="1"/>
  <c r="K73" i="6"/>
  <c r="L73" i="6" s="1"/>
  <c r="P73" i="6" s="1"/>
  <c r="E10" i="6" l="1"/>
  <c r="G64" i="6"/>
  <c r="F62" i="6"/>
  <c r="G62" i="6" s="1"/>
  <c r="N63" i="10"/>
  <c r="E54" i="10"/>
  <c r="F34" i="6"/>
  <c r="G34" i="6" s="1"/>
  <c r="M70" i="6"/>
  <c r="K70" i="6"/>
  <c r="L70" i="6" s="1"/>
  <c r="P70" i="6" s="1"/>
  <c r="E32" i="6"/>
  <c r="F24" i="6"/>
  <c r="N57" i="10"/>
  <c r="M56" i="10"/>
  <c r="N56" i="10" s="1"/>
  <c r="D32" i="6"/>
  <c r="M37" i="6" s="1"/>
  <c r="K35" i="6"/>
  <c r="L35" i="6" s="1"/>
  <c r="P35" i="6" s="1"/>
  <c r="K69" i="6"/>
  <c r="L69" i="6" s="1"/>
  <c r="P69" i="6" s="1"/>
  <c r="K46" i="6"/>
  <c r="L46" i="6" s="1"/>
  <c r="P46" i="6" s="1"/>
  <c r="M46" i="6"/>
  <c r="K44" i="6"/>
  <c r="L44" i="6" s="1"/>
  <c r="P44" i="6" s="1"/>
  <c r="M44" i="6"/>
  <c r="K62" i="6"/>
  <c r="L62" i="6" s="1"/>
  <c r="P62" i="6" s="1"/>
  <c r="M61" i="6"/>
  <c r="K61" i="6"/>
  <c r="L61" i="6" s="1"/>
  <c r="P61" i="6" s="1"/>
  <c r="M62" i="6"/>
  <c r="F28" i="6"/>
  <c r="G28" i="6" s="1"/>
  <c r="P26" i="6"/>
  <c r="K26" i="6"/>
  <c r="P41" i="10"/>
  <c r="F70" i="6"/>
  <c r="F52" i="6"/>
  <c r="G52" i="6" s="1"/>
  <c r="F42" i="6"/>
  <c r="G42" i="6" s="1"/>
  <c r="N19" i="10"/>
  <c r="R15" i="10"/>
  <c r="P50" i="10"/>
  <c r="P49" i="10"/>
  <c r="P48" i="10"/>
  <c r="L9" i="10"/>
  <c r="L40" i="10" s="1"/>
  <c r="N25" i="10"/>
  <c r="N22" i="10"/>
  <c r="N64" i="10"/>
  <c r="N18" i="10"/>
  <c r="N21" i="10"/>
  <c r="R17" i="10"/>
  <c r="R16" i="10"/>
  <c r="R18" i="10"/>
  <c r="P53" i="10"/>
  <c r="P47" i="10"/>
  <c r="P52" i="10"/>
  <c r="P51" i="10"/>
  <c r="R13" i="10"/>
  <c r="K9" i="10"/>
  <c r="K40" i="10" s="1"/>
  <c r="M10" i="10"/>
  <c r="F10" i="10"/>
  <c r="F9" i="10" s="1"/>
  <c r="G37" i="6"/>
  <c r="G38" i="6"/>
  <c r="G24" i="6" l="1"/>
  <c r="F20" i="6"/>
  <c r="F54" i="10"/>
  <c r="G54" i="10" s="1"/>
  <c r="M55" i="10"/>
  <c r="F32" i="6"/>
  <c r="G32" i="6" s="1"/>
  <c r="E59" i="6"/>
  <c r="E77" i="6" s="1"/>
  <c r="M26" i="6"/>
  <c r="M12" i="6"/>
  <c r="M23" i="6"/>
  <c r="K10" i="6"/>
  <c r="L10" i="6" s="1"/>
  <c r="P10" i="6" s="1"/>
  <c r="D59" i="6"/>
  <c r="M34" i="6"/>
  <c r="K31" i="6"/>
  <c r="L31" i="6" s="1"/>
  <c r="P31" i="6" s="1"/>
  <c r="N31" i="6"/>
  <c r="N39" i="6" s="1"/>
  <c r="M32" i="6"/>
  <c r="M35" i="6"/>
  <c r="M36" i="6"/>
  <c r="M33" i="6"/>
  <c r="M31" i="6"/>
  <c r="M10" i="6"/>
  <c r="M18" i="6"/>
  <c r="M24" i="6"/>
  <c r="F40" i="6"/>
  <c r="G40" i="6" s="1"/>
  <c r="F61" i="6"/>
  <c r="G61" i="6" s="1"/>
  <c r="P9" i="10"/>
  <c r="Q43" i="10"/>
  <c r="F69" i="6"/>
  <c r="G69" i="6" s="1"/>
  <c r="G70" i="6"/>
  <c r="P16" i="10"/>
  <c r="P13" i="10"/>
  <c r="P12" i="10"/>
  <c r="P25" i="10"/>
  <c r="P38" i="10"/>
  <c r="P31" i="10"/>
  <c r="S12" i="10"/>
  <c r="S18" i="10"/>
  <c r="S21" i="10"/>
  <c r="R35" i="10"/>
  <c r="S24" i="10"/>
  <c r="S28" i="10"/>
  <c r="M9" i="10"/>
  <c r="M40" i="10" s="1"/>
  <c r="N10" i="10"/>
  <c r="G10" i="10"/>
  <c r="L50" i="10" l="1"/>
  <c r="L50" i="12"/>
  <c r="L47" i="12" s="1"/>
  <c r="L44" i="12" s="1"/>
  <c r="L54" i="12" s="1"/>
  <c r="G20" i="6"/>
  <c r="F18" i="6"/>
  <c r="L47" i="10"/>
  <c r="L44" i="10" s="1"/>
  <c r="L54" i="10" s="1"/>
  <c r="Z54" i="10" s="1"/>
  <c r="N40" i="10"/>
  <c r="K59" i="6"/>
  <c r="L59" i="6" s="1"/>
  <c r="P59" i="6" s="1"/>
  <c r="D77" i="6"/>
  <c r="K50" i="12" s="1"/>
  <c r="M59" i="6"/>
  <c r="N32" i="6"/>
  <c r="P40" i="10"/>
  <c r="Q55" i="10"/>
  <c r="Q9" i="10"/>
  <c r="N9" i="10"/>
  <c r="G9" i="10"/>
  <c r="R50" i="10"/>
  <c r="R49" i="10"/>
  <c r="G18" i="6" l="1"/>
  <c r="F10" i="6"/>
  <c r="M50" i="12"/>
  <c r="K47" i="12"/>
  <c r="K44" i="12" s="1"/>
  <c r="K50" i="10"/>
  <c r="K47" i="10" s="1"/>
  <c r="K44" i="10" s="1"/>
  <c r="K54" i="10" s="1"/>
  <c r="Y54" i="10" s="1"/>
  <c r="K49" i="11"/>
  <c r="N50" i="12" l="1"/>
  <c r="M47" i="12"/>
  <c r="G10" i="6"/>
  <c r="F59" i="6"/>
  <c r="R48" i="12"/>
  <c r="K54" i="12"/>
  <c r="M50" i="10"/>
  <c r="N50" i="10" s="1"/>
  <c r="K46" i="11"/>
  <c r="K44" i="11" s="1"/>
  <c r="M49" i="11"/>
  <c r="R48" i="10"/>
  <c r="R47" i="10"/>
  <c r="F77" i="6" l="1"/>
  <c r="G77" i="6" s="1"/>
  <c r="G59" i="6"/>
  <c r="N47" i="12"/>
  <c r="M44" i="12"/>
  <c r="P58" i="12"/>
  <c r="M47" i="10"/>
  <c r="M44" i="10" s="1"/>
  <c r="M54" i="10" s="1"/>
  <c r="N54" i="10" s="1"/>
  <c r="N49" i="11"/>
  <c r="M46" i="11"/>
  <c r="R47" i="11"/>
  <c r="K53" i="11"/>
  <c r="P57" i="11" s="1"/>
  <c r="P58" i="10"/>
  <c r="N44" i="12" l="1"/>
  <c r="M54" i="12"/>
  <c r="N54" i="12" s="1"/>
  <c r="N47" i="10"/>
  <c r="N44" i="10"/>
  <c r="N46" i="11"/>
  <c r="M44" i="11"/>
  <c r="N44" i="11" l="1"/>
  <c r="M53" i="11"/>
  <c r="N53" i="11" s="1"/>
</calcChain>
</file>

<file path=xl/sharedStrings.xml><?xml version="1.0" encoding="utf-8"?>
<sst xmlns="http://schemas.openxmlformats.org/spreadsheetml/2006/main" count="460" uniqueCount="202">
  <si>
    <t>COD</t>
  </si>
  <si>
    <t>ACTIVO</t>
  </si>
  <si>
    <t>AUMENTO</t>
  </si>
  <si>
    <t>PASIVO Y PATRIMONIO</t>
  </si>
  <si>
    <t>PASIVO</t>
  </si>
  <si>
    <t>DISMINUCION</t>
  </si>
  <si>
    <t>-</t>
  </si>
  <si>
    <t>VENTA DE BIENES</t>
  </si>
  <si>
    <t>AVANCES Y ANTICIPOS ENTREGADOS</t>
  </si>
  <si>
    <t>EN PODER DE TERCEROS</t>
  </si>
  <si>
    <t>OTROS PASIVOS</t>
  </si>
  <si>
    <t>OTROS ACTIVOS</t>
  </si>
  <si>
    <t>INGRESOS RECIBIDOS POR ANTICIPADO</t>
  </si>
  <si>
    <t>TOTAL PASIVO</t>
  </si>
  <si>
    <t>TERRENOS</t>
  </si>
  <si>
    <t>PATRIMONIO</t>
  </si>
  <si>
    <t>BIENES MUEBLES EN BODEGA</t>
  </si>
  <si>
    <t>EDIFICACIONES</t>
  </si>
  <si>
    <t>CAPITAL FISCAL</t>
  </si>
  <si>
    <t>MAQUINARIA Y EQUIPO</t>
  </si>
  <si>
    <t>RESULTADO DEL EJERCICIO</t>
  </si>
  <si>
    <t>BIENES DE BENEFICIO Y USO PUBLICO E HISTORICOS Y CULTURALES</t>
  </si>
  <si>
    <t>BIENES HISTORICOS Y CULTURALES</t>
  </si>
  <si>
    <t>BIENES DE ARTE Y CULTURA</t>
  </si>
  <si>
    <t xml:space="preserve">TOTAL ACTIVO </t>
  </si>
  <si>
    <t>TOTAL  PASIVO Y PATRIMONIO</t>
  </si>
  <si>
    <t>CUENTAS DE ORDEN DEUDORAS</t>
  </si>
  <si>
    <t>CUENTAS DE ORDEN   ACREEDORAS</t>
  </si>
  <si>
    <t>LITIGIOS Y DEMANDAS</t>
  </si>
  <si>
    <t>Contadora Pública</t>
  </si>
  <si>
    <t>INDICADORES DE LIQUIDEZ</t>
  </si>
  <si>
    <t>CAPÍTAL DE TRABAJO</t>
  </si>
  <si>
    <t>ACT CTE - PAS CTE</t>
  </si>
  <si>
    <t>LIQUIDEZ - RAZON CORRIENTE</t>
  </si>
  <si>
    <t>(ACT CTE / PAS CTE)</t>
  </si>
  <si>
    <t>ENDEUDAMIENTO</t>
  </si>
  <si>
    <t>(TOTAL PAS / TOTAL ACT)*100</t>
  </si>
  <si>
    <t>MOVIMIENTO AÑO 2013</t>
  </si>
  <si>
    <t>CONCEPTO</t>
  </si>
  <si>
    <t>MVTO 1er TM</t>
  </si>
  <si>
    <t>MVTO 2o TM</t>
  </si>
  <si>
    <t>MVTO 3er TM</t>
  </si>
  <si>
    <t>MVTO 4o TM</t>
  </si>
  <si>
    <t>ACUM A DIC</t>
  </si>
  <si>
    <t>INDICADORES</t>
  </si>
  <si>
    <t>INGRESOS  OPERACIONALES</t>
  </si>
  <si>
    <t>BIENES COMERCIALIZADOS</t>
  </si>
  <si>
    <t>VENTA DE SERVICIOS</t>
  </si>
  <si>
    <t>SERVICIOS EDUCATIVOS</t>
  </si>
  <si>
    <t>OTROS SERVICIOS</t>
  </si>
  <si>
    <t>OTRAS TRANSFERENCIAS</t>
  </si>
  <si>
    <t>COSTO DE VENTAS</t>
  </si>
  <si>
    <t>COSTO DE VENTAS DE BIENES</t>
  </si>
  <si>
    <t>GASTOS  OPERACIONALES</t>
  </si>
  <si>
    <t xml:space="preserve"> ADMINISTRATIVOS</t>
  </si>
  <si>
    <t>CONTRIBUCIONES IMPUTADAS</t>
  </si>
  <si>
    <t>GENERALES</t>
  </si>
  <si>
    <t>IMPUESTOS, CONTRIBUCIONES Y TASAS</t>
  </si>
  <si>
    <t>OTROS INGRESOS</t>
  </si>
  <si>
    <t>FINANCIEROS</t>
  </si>
  <si>
    <t>OTROS GASTOS</t>
  </si>
  <si>
    <t>COMISIONES</t>
  </si>
  <si>
    <t>PERIODO 2013</t>
  </si>
  <si>
    <t>MES</t>
  </si>
  <si>
    <t>INGRESOS FISCALES</t>
  </si>
  <si>
    <t>GASTOS NO OPERACIONALES</t>
  </si>
  <si>
    <t>JAIRO ALBERTO SERRATO ROMERO</t>
  </si>
  <si>
    <t>Subdirector Financiero</t>
  </si>
  <si>
    <t>(Cifras en pesos colombianos sin decimales)</t>
  </si>
  <si>
    <t>ACTIVO CORRIENTE</t>
  </si>
  <si>
    <t>EFECTIVO Y EQUIVALENTES AL EFECTIVO</t>
  </si>
  <si>
    <t>DEPÓSITOS EN INSTITUCIONES FINANCIERAS</t>
  </si>
  <si>
    <t>EQUIVALENTES AL EFECTIVO</t>
  </si>
  <si>
    <t xml:space="preserve">CUENTAS POR COBRAR </t>
  </si>
  <si>
    <t>PRESTACIÓN DE SERVICIOS</t>
  </si>
  <si>
    <t>OTRAS CUENTAS POR COBRAR</t>
  </si>
  <si>
    <t xml:space="preserve">DETERIORO ACUMULADO DE CUENTAS POR COBRAR </t>
  </si>
  <si>
    <t xml:space="preserve">INVENTARIOS </t>
  </si>
  <si>
    <t>MERCANCÍAS EN EXISTENCIA</t>
  </si>
  <si>
    <t>MATERIALES Y SUMINISTROS</t>
  </si>
  <si>
    <t xml:space="preserve">ACTIVO NO CORRIENTE </t>
  </si>
  <si>
    <t>PROPIEDADES, PLANTA Y EQUIPO</t>
  </si>
  <si>
    <t>CONSTRUCCIONES EN CURSO</t>
  </si>
  <si>
    <t>PROPIEDADES, PLANTA Y EQUIPO NO EXPLOTADOS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</si>
  <si>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</si>
  <si>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</si>
  <si>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</si>
  <si>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</si>
  <si>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</si>
  <si>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</t>
  </si>
  <si>
    <t>DEPÓSITOS ENTREGADOS EN GARANTÍA</t>
  </si>
  <si>
    <t>ACTIVOS INTANGIBLES</t>
  </si>
  <si>
    <t xml:space="preserve">AMORTIZACIÓN ACUMULADA DE ACTIVOS INTANGIBLES </t>
  </si>
  <si>
    <t xml:space="preserve">PASIVO CORRIENTE </t>
  </si>
  <si>
    <t xml:space="preserve">CUENTAS POR PAGAR </t>
  </si>
  <si>
    <t>ADQUISICIÓN DE BIENES Y SERVICIOS NACIONALES</t>
  </si>
  <si>
    <t>RECURSOS A FAVOR DE TERCEROS</t>
  </si>
  <si>
    <t>DESCUENTOS DE NOMINA</t>
  </si>
  <si>
    <t>RETENCIÓN EN LA FUENTE E IMPUESTO DE TIMBRE</t>
  </si>
  <si>
    <t xml:space="preserve">IMPUESTOS, CONTRIBUCIONES Y TASAS </t>
  </si>
  <si>
    <t>OTRAS CUENTAS POR PAGAR</t>
  </si>
  <si>
    <t xml:space="preserve">BENEFICIOS A LOS EMPLEADOS </t>
  </si>
  <si>
    <t>BENEFICIOS A LOS EMPLEADOS A CORTO PLAZO</t>
  </si>
  <si>
    <t>PROVISIONES</t>
  </si>
  <si>
    <t>RECURSOS RECIBIDOS EN ADMINISTRACIÓN</t>
  </si>
  <si>
    <t xml:space="preserve">PASIVO NO CORRIENTE </t>
  </si>
  <si>
    <t>BENEFICIOS A LOS EMPLEADOS A LARGO PLAZO</t>
  </si>
  <si>
    <t>ACTIVOS CONTINGENTES</t>
  </si>
  <si>
    <t>LITIGIOS Y MECANISMOS ALTERNATIVOS DE SOLUCIÓN DE CONFLICTOS</t>
  </si>
  <si>
    <t>OTROS ACTIVOS CONTINGENTES</t>
  </si>
  <si>
    <t>ACTIVOS CONTINGENTES POR CONTRA</t>
  </si>
  <si>
    <t>PASIVOS CONTINGENTES</t>
  </si>
  <si>
    <t>GARANTIAS CONTRACTUALES</t>
  </si>
  <si>
    <t>c.c. 79.372.414</t>
  </si>
  <si>
    <t>c.c. 51.964.083</t>
  </si>
  <si>
    <t>Tarjeta Profesional Nº 52145T</t>
  </si>
  <si>
    <t>PATRIMONIO DE LAS ESTIDADES DE GOBIERNO</t>
  </si>
  <si>
    <t>RESULTADOS DE EJERCICIOS ANTERIORES</t>
  </si>
  <si>
    <t xml:space="preserve">SIN CONTRAPRESTACIÓN </t>
  </si>
  <si>
    <t>4110</t>
  </si>
  <si>
    <t>CONTRIBUCIONES, TASAS E INGRESOS NO TRIBUTARIOS</t>
  </si>
  <si>
    <t>TRANSFERENCIAS Y SUBVENCIONES</t>
  </si>
  <si>
    <t>4428</t>
  </si>
  <si>
    <t xml:space="preserve">CON  CONTRAPRESTACIÓN </t>
  </si>
  <si>
    <t>4305</t>
  </si>
  <si>
    <t>4390</t>
  </si>
  <si>
    <t>DEVOLUCIONES, REBAJAS Y DESCUENTOS EN VENTA DE SERVICIOS</t>
  </si>
  <si>
    <t xml:space="preserve">VENTA DE BIENES </t>
  </si>
  <si>
    <t>4210</t>
  </si>
  <si>
    <t>COSTO DE VENTAS DE SERVICIOS</t>
  </si>
  <si>
    <t>5101</t>
  </si>
  <si>
    <t>SUELDOS Y SALARIOS</t>
  </si>
  <si>
    <t>5102</t>
  </si>
  <si>
    <t>5103</t>
  </si>
  <si>
    <t>CONTRIBUCIONES EFECTIVAS</t>
  </si>
  <si>
    <t>5104</t>
  </si>
  <si>
    <t>APORTES SOBRE LA NÓMINA</t>
  </si>
  <si>
    <t>5107</t>
  </si>
  <si>
    <t>PRESTACIONES SOCIALES</t>
  </si>
  <si>
    <t>5111</t>
  </si>
  <si>
    <t>5120</t>
  </si>
  <si>
    <t>DETERIORO, DEPRECIACIONES, AMORTIZACIONES Y PROVISIONES</t>
  </si>
  <si>
    <t>5360</t>
  </si>
  <si>
    <t>DEPRECIACIÓN DE PROPIEDADES, PLANTA Y EQUIPO</t>
  </si>
  <si>
    <t>5366</t>
  </si>
  <si>
    <t>AMORTIZACIÓN DE ACTIVOS INTANGIBLES</t>
  </si>
  <si>
    <t>INGRESOS  NO OPERACIONALES</t>
  </si>
  <si>
    <t>INGRESOS DIVERSOS</t>
  </si>
  <si>
    <t>5802</t>
  </si>
  <si>
    <t>GASTOS DIVERSOS</t>
  </si>
  <si>
    <t>CON CONTRAPRESTACION</t>
  </si>
  <si>
    <t>Var %</t>
  </si>
  <si>
    <t xml:space="preserve">EXCEDENTE (DÉFICIT)  OPERACIONAL </t>
  </si>
  <si>
    <t>EXCEDENTE (DÉFICIT) DEL EJERCICIO</t>
  </si>
  <si>
    <t>ESTADO DE RESULTADOS COMPARATIVO</t>
  </si>
  <si>
    <t>2990</t>
  </si>
  <si>
    <t>OTROS PASIVOS DIFERIDOS</t>
  </si>
  <si>
    <t>GASTOS DE PERSONAL DIVERSOS</t>
  </si>
  <si>
    <t>CUENTAS POR COBRAR DE DIFÍCIL RECAUDO</t>
  </si>
  <si>
    <t>DETERIORO DE INVENTARIOS</t>
  </si>
  <si>
    <t>PROVISION, LITIGIOS Y DEMANDAS</t>
  </si>
  <si>
    <t>TRANSFERENCIAS POR COBRAR</t>
  </si>
  <si>
    <t>REVERSION DE LAS PERDIDAS POR DETERIORO DE VALOR</t>
  </si>
  <si>
    <t>ACREEDORAS POR CONTRA (DB)</t>
  </si>
  <si>
    <t>DEUDORAS POR CONTRA (CR)</t>
  </si>
  <si>
    <t>DETERIORO DE CUENTAS POR COBRAR</t>
  </si>
  <si>
    <t>OTROS PASIVOS CONTINGENTES</t>
  </si>
  <si>
    <t xml:space="preserve">NIT No. 899.999.124-4 </t>
  </si>
  <si>
    <t xml:space="preserve">RESPONSABILIDADES CONTINGENTES POR CONTRA </t>
  </si>
  <si>
    <t>IMPUESTOS</t>
  </si>
  <si>
    <t>DEVOLUCIONES, REBAJAS Y DESCUENTOS EN VENTA DE BIENES</t>
  </si>
  <si>
    <t>ACREEDORAS DE CONTROL POR CONTRA</t>
  </si>
  <si>
    <t>MARYSOL GUERRA LEGUIZAMÓN</t>
  </si>
  <si>
    <t>ESTADO DE SITUACIÓN FINANCIERA COMPARATIVO</t>
  </si>
  <si>
    <t>UNIVERSIDAD PEDAGÓGICA NACIONAL</t>
  </si>
  <si>
    <t>%variación</t>
  </si>
  <si>
    <t>CAJA</t>
  </si>
  <si>
    <t>ACREEDORAS DE CONTROL</t>
  </si>
  <si>
    <t>RECURSOS ADMINISTRADOS EN NOMBRE DE TERCEROS</t>
  </si>
  <si>
    <t>INVERSIONES EN INSTRUMENTOS DERIVADOS</t>
  </si>
  <si>
    <t>INVERSIONES DE ADMINISTRACIÓN DE LIQUIDEZ A COSTO AMORTIZADO</t>
  </si>
  <si>
    <t>SEPTIEMBRE</t>
  </si>
  <si>
    <t>ADOLFO LEÓN ATEHORTÚA CRUZ</t>
  </si>
  <si>
    <t>Representante Legal - Rector ( E )</t>
  </si>
  <si>
    <t>c.c. 16.347.657</t>
  </si>
  <si>
    <t>JUNIO</t>
  </si>
  <si>
    <t>A 30 DE SEPTIEMBRE DE  2023 - 30 DE JUNIO DE 2023</t>
  </si>
  <si>
    <t xml:space="preserve">Los suscritos Representante legal, Subdirector Financiero y Contador de la Universidad Pedagógica Nacional certifican que los saldos del Estado de Situación Financiera a septiembre 30 del 2023 y junio 30 del 2023, fueron tomados fielmente de los libros de contabilidad, que la contabilidad se elaboró conforme a la normatividad emitida por la Contaduría General de la Nación para Entidades de Gobierno, anexa a la Resolución 533 de 2015 y sus modificatorias. </t>
  </si>
  <si>
    <t>AJUSTE POR DIFERENCIA EN CAMBIO</t>
  </si>
  <si>
    <t>DETERIORO ACUMULADO DE PROPIEDADES, PLANTA Y EQUIPO</t>
  </si>
  <si>
    <t>BIENES Y SERVICIOS PAGADOS POR ANTICIPADO</t>
  </si>
  <si>
    <t>OPERACIONES INTERINSTITUCIONALES</t>
  </si>
  <si>
    <t>FONDOS RECIBIDOS</t>
  </si>
  <si>
    <t>OTRAS CUENTAS ACREEDORAS DE CONTROL</t>
  </si>
  <si>
    <t>DEVOLUCIONES Y DESCUENTOS INGRESOS FISCALES</t>
  </si>
  <si>
    <t>DEL 01 DE FEBRERO AL 28 DE FEBRERO DEL  2025 - 2024</t>
  </si>
  <si>
    <t>Los suscritos Representante legal, Subdirector Financiero y Contador de la Universidad Pedagógica Nacional certifican que los saldos del Estado de Resultados del 1 de febrero al 28 de febrero del 2025 y 2024, fueron tomados fielmente de los libros de contabilidad y que la contabilidad se elaboró conforme a la normatividad emitida por la Contaduría General de la Nación para Entidades de Gobierno, anexa a la Resolución 533 de 2015 y sus modificatorias.</t>
  </si>
  <si>
    <t>A 31 DE MARZO DE  2025 - 2024</t>
  </si>
  <si>
    <t>MARZO</t>
  </si>
  <si>
    <t>INGRESOS NO TRIBUTARIOS</t>
  </si>
  <si>
    <t xml:space="preserve">Los suscritos Representante legal, Subdirector Financiero y Contador de la Universidad Pedagógica Nacional certifican que los saldos del Estado de Situación Financiera a marzo 31 del 2025 y 2024, fueron tomados fielmente de los libros de contabilidad, que la contabilidad se elaboró conforme a la normatividad emitida por la Contaduría General de la Nación para Entidades de Gobierno, anexa a la Resolución 533 de 2015 y sus modificatorias. 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</si>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</sst>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0"/>
      <name val="Century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entury"/>
      <family val="1"/>
    </font>
    <font>
      <b/>
      <sz val="10"/>
      <color theme="3" tint="0.39997558519241921"/>
      <name val="Arial"/>
      <family val="2"/>
    </font>
    <font>
      <b/>
      <sz val="12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ashed">
        <color auto="1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5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/>
    <xf numFmtId="10" fontId="1" fillId="0" borderId="0" xfId="0" applyNumberFormat="1" applyFont="1" applyFill="1"/>
    <xf numFmtId="4" fontId="6" fillId="0" borderId="0" xfId="0" applyNumberFormat="1" applyFont="1" applyFill="1"/>
    <xf numFmtId="3" fontId="6" fillId="0" borderId="0" xfId="0" applyNumberFormat="1" applyFont="1" applyFill="1"/>
    <xf numFmtId="4" fontId="5" fillId="0" borderId="0" xfId="0" applyNumberFormat="1" applyFont="1" applyFill="1" applyBorder="1"/>
    <xf numFmtId="4" fontId="0" fillId="0" borderId="0" xfId="0" applyNumberFormat="1" applyFill="1"/>
    <xf numFmtId="0" fontId="1" fillId="0" borderId="4" xfId="0" applyFont="1" applyFill="1" applyBorder="1"/>
    <xf numFmtId="4" fontId="9" fillId="0" borderId="0" xfId="0" applyNumberFormat="1" applyFont="1" applyFill="1" applyBorder="1"/>
    <xf numFmtId="4" fontId="1" fillId="0" borderId="0" xfId="0" applyNumberFormat="1" applyFont="1" applyFill="1"/>
    <xf numFmtId="4" fontId="1" fillId="0" borderId="0" xfId="0" applyNumberFormat="1" applyFont="1" applyFill="1" applyBorder="1"/>
    <xf numFmtId="1" fontId="4" fillId="0" borderId="5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0" fillId="0" borderId="0" xfId="0" applyNumberFormat="1" applyFill="1"/>
    <xf numFmtId="3" fontId="0" fillId="0" borderId="0" xfId="0" applyNumberFormat="1" applyFill="1" applyBorder="1"/>
    <xf numFmtId="3" fontId="5" fillId="0" borderId="1" xfId="0" applyNumberFormat="1" applyFont="1" applyFill="1" applyBorder="1"/>
    <xf numFmtId="4" fontId="7" fillId="0" borderId="0" xfId="0" applyNumberFormat="1" applyFont="1" applyFill="1"/>
    <xf numFmtId="0" fontId="5" fillId="0" borderId="0" xfId="0" applyFont="1" applyFill="1" applyAlignment="1">
      <alignment horizontal="center"/>
    </xf>
    <xf numFmtId="4" fontId="0" fillId="0" borderId="0" xfId="0" applyNumberForma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" fontId="4" fillId="0" borderId="0" xfId="0" applyNumberFormat="1" applyFont="1" applyFill="1"/>
    <xf numFmtId="2" fontId="1" fillId="0" borderId="0" xfId="0" applyNumberFormat="1" applyFont="1" applyFill="1"/>
    <xf numFmtId="3" fontId="1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3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/>
    <xf numFmtId="4" fontId="6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5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3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0" xfId="1" applyNumberFormat="1" applyFont="1" applyFill="1"/>
    <xf numFmtId="0" fontId="1" fillId="0" borderId="0" xfId="0" quotePrefix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4" fontId="1" fillId="0" borderId="4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3" fontId="11" fillId="0" borderId="0" xfId="0" applyNumberFormat="1" applyFont="1" applyFill="1" applyBorder="1"/>
    <xf numFmtId="3" fontId="10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0" fontId="11" fillId="0" borderId="0" xfId="0" applyFont="1" applyFill="1" applyBorder="1"/>
    <xf numFmtId="3" fontId="10" fillId="0" borderId="0" xfId="0" applyNumberFormat="1" applyFont="1" applyFill="1" applyBorder="1" applyAlignment="1"/>
    <xf numFmtId="3" fontId="11" fillId="0" borderId="0" xfId="0" applyNumberFormat="1" applyFont="1" applyFill="1" applyBorder="1" applyAlignment="1"/>
    <xf numFmtId="0" fontId="0" fillId="0" borderId="0" xfId="0" applyFill="1" applyAlignment="1"/>
    <xf numFmtId="0" fontId="0" fillId="0" borderId="0" xfId="0" applyFill="1"/>
    <xf numFmtId="0" fontId="13" fillId="0" borderId="0" xfId="0" applyFont="1" applyFill="1" applyBorder="1" applyAlignment="1">
      <alignment horizontal="center"/>
    </xf>
    <xf numFmtId="4" fontId="1" fillId="0" borderId="9" xfId="0" applyNumberFormat="1" applyFont="1" applyFill="1" applyBorder="1"/>
    <xf numFmtId="4" fontId="1" fillId="0" borderId="10" xfId="0" applyNumberFormat="1" applyFont="1" applyFill="1" applyBorder="1"/>
    <xf numFmtId="4" fontId="1" fillId="0" borderId="8" xfId="0" applyNumberFormat="1" applyFont="1" applyFill="1" applyBorder="1"/>
    <xf numFmtId="4" fontId="5" fillId="0" borderId="0" xfId="0" quotePrefix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Continuous"/>
    </xf>
    <xf numFmtId="3" fontId="9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9" fontId="5" fillId="0" borderId="3" xfId="1" applyNumberFormat="1" applyFont="1" applyFill="1" applyBorder="1" applyAlignment="1">
      <alignment horizontal="center"/>
    </xf>
    <xf numFmtId="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0" fillId="0" borderId="12" xfId="0" applyFill="1" applyBorder="1" applyAlignment="1">
      <alignment horizontal="right"/>
    </xf>
    <xf numFmtId="0" fontId="0" fillId="0" borderId="12" xfId="0" applyFill="1" applyBorder="1"/>
    <xf numFmtId="0" fontId="1" fillId="0" borderId="12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1" fillId="0" borderId="12" xfId="0" applyFont="1" applyFill="1" applyBorder="1"/>
    <xf numFmtId="0" fontId="1" fillId="0" borderId="3" xfId="0" applyFont="1" applyFill="1" applyBorder="1"/>
    <xf numFmtId="9" fontId="5" fillId="0" borderId="3" xfId="0" applyNumberFormat="1" applyFont="1" applyFill="1" applyBorder="1" applyAlignment="1">
      <alignment horizontal="center"/>
    </xf>
    <xf numFmtId="0" fontId="6" fillId="0" borderId="12" xfId="0" applyFont="1" applyFill="1" applyBorder="1"/>
    <xf numFmtId="38" fontId="6" fillId="0" borderId="3" xfId="0" applyNumberFormat="1" applyFont="1" applyFill="1" applyBorder="1"/>
    <xf numFmtId="9" fontId="10" fillId="0" borderId="3" xfId="1" applyNumberFormat="1" applyFont="1" applyFill="1" applyBorder="1"/>
    <xf numFmtId="9" fontId="11" fillId="0" borderId="3" xfId="0" applyNumberFormat="1" applyFont="1" applyFill="1" applyBorder="1"/>
    <xf numFmtId="0" fontId="6" fillId="0" borderId="12" xfId="0" quotePrefix="1" applyFont="1" applyFill="1" applyBorder="1" applyAlignment="1">
      <alignment horizontal="right"/>
    </xf>
    <xf numFmtId="0" fontId="4" fillId="0" borderId="12" xfId="0" quotePrefix="1" applyFont="1" applyFill="1" applyBorder="1" applyAlignment="1">
      <alignment horizontal="left"/>
    </xf>
    <xf numFmtId="9" fontId="11" fillId="0" borderId="3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9" fontId="10" fillId="0" borderId="3" xfId="0" applyNumberFormat="1" applyFont="1" applyFill="1" applyBorder="1"/>
    <xf numFmtId="0" fontId="0" fillId="0" borderId="3" xfId="0" applyFill="1" applyBorder="1"/>
    <xf numFmtId="0" fontId="0" fillId="0" borderId="3" xfId="0" applyFill="1" applyBorder="1" applyAlignment="1"/>
    <xf numFmtId="4" fontId="1" fillId="0" borderId="14" xfId="0" applyNumberFormat="1" applyFont="1" applyFill="1" applyBorder="1"/>
    <xf numFmtId="0" fontId="1" fillId="0" borderId="14" xfId="0" applyFont="1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4" fontId="4" fillId="0" borderId="16" xfId="0" applyNumberFormat="1" applyFont="1" applyFill="1" applyBorder="1" applyAlignment="1">
      <alignment horizontal="center"/>
    </xf>
    <xf numFmtId="9" fontId="10" fillId="0" borderId="16" xfId="1" applyNumberFormat="1" applyFont="1" applyFill="1" applyBorder="1"/>
    <xf numFmtId="9" fontId="11" fillId="0" borderId="16" xfId="0" applyNumberFormat="1" applyFont="1" applyFill="1" applyBorder="1"/>
    <xf numFmtId="3" fontId="10" fillId="0" borderId="18" xfId="0" applyNumberFormat="1" applyFont="1" applyFill="1" applyBorder="1"/>
    <xf numFmtId="9" fontId="10" fillId="0" borderId="17" xfId="1" applyNumberFormat="1" applyFont="1" applyFill="1" applyBorder="1"/>
    <xf numFmtId="9" fontId="10" fillId="0" borderId="19" xfId="1" applyNumberFormat="1" applyFont="1" applyFill="1" applyBorder="1"/>
    <xf numFmtId="0" fontId="4" fillId="0" borderId="18" xfId="0" applyFont="1" applyFill="1" applyBorder="1" applyAlignment="1">
      <alignment horizontal="center"/>
    </xf>
    <xf numFmtId="3" fontId="5" fillId="0" borderId="18" xfId="0" applyNumberFormat="1" applyFont="1" applyFill="1" applyBorder="1"/>
    <xf numFmtId="9" fontId="5" fillId="0" borderId="19" xfId="1" applyNumberFormat="1" applyFont="1" applyFill="1" applyBorder="1" applyAlignment="1">
      <alignment horizontal="center"/>
    </xf>
    <xf numFmtId="0" fontId="6" fillId="0" borderId="13" xfId="0" applyFont="1" applyFill="1" applyBorder="1"/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3" fontId="10" fillId="0" borderId="20" xfId="0" applyNumberFormat="1" applyFont="1" applyFill="1" applyBorder="1"/>
    <xf numFmtId="9" fontId="10" fillId="0" borderId="21" xfId="1" applyNumberFormat="1" applyFont="1" applyFill="1" applyBorder="1"/>
    <xf numFmtId="0" fontId="6" fillId="0" borderId="14" xfId="0" applyFont="1" applyFill="1" applyBorder="1"/>
    <xf numFmtId="9" fontId="10" fillId="0" borderId="22" xfId="1" applyNumberFormat="1" applyFont="1" applyFill="1" applyBorder="1"/>
    <xf numFmtId="0" fontId="4" fillId="0" borderId="0" xfId="0" quotePrefix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3" fontId="10" fillId="0" borderId="4" xfId="0" applyNumberFormat="1" applyFont="1" applyFill="1" applyBorder="1"/>
    <xf numFmtId="0" fontId="4" fillId="0" borderId="11" xfId="0" applyFont="1" applyFill="1" applyBorder="1" applyAlignment="1">
      <alignment horizontal="left"/>
    </xf>
    <xf numFmtId="9" fontId="10" fillId="0" borderId="6" xfId="1" applyNumberFormat="1" applyFont="1" applyFill="1" applyBorder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3" fontId="10" fillId="0" borderId="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13" fillId="0" borderId="12" xfId="0" applyNumberFormat="1" applyFont="1" applyFill="1" applyBorder="1" applyAlignment="1"/>
    <xf numFmtId="0" fontId="15" fillId="0" borderId="14" xfId="0" applyFont="1" applyFill="1" applyBorder="1" applyAlignment="1">
      <alignment horizontal="center"/>
    </xf>
    <xf numFmtId="16" fontId="6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9" fontId="1" fillId="0" borderId="0" xfId="0" applyNumberFormat="1" applyFont="1" applyFill="1"/>
    <xf numFmtId="1" fontId="10" fillId="0" borderId="0" xfId="0" applyNumberFormat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9" fontId="11" fillId="0" borderId="0" xfId="0" applyNumberFormat="1" applyFont="1" applyFill="1" applyBorder="1"/>
    <xf numFmtId="9" fontId="11" fillId="0" borderId="0" xfId="0" applyNumberFormat="1" applyFont="1" applyFill="1" applyBorder="1" applyAlignment="1">
      <alignment horizontal="right"/>
    </xf>
    <xf numFmtId="9" fontId="10" fillId="0" borderId="0" xfId="1" applyNumberFormat="1" applyFont="1" applyFill="1" applyBorder="1"/>
    <xf numFmtId="0" fontId="6" fillId="0" borderId="24" xfId="0" applyFont="1" applyFill="1" applyBorder="1" applyAlignment="1">
      <alignment horizontal="right"/>
    </xf>
    <xf numFmtId="0" fontId="4" fillId="0" borderId="24" xfId="0" quotePrefix="1" applyFont="1" applyFill="1" applyBorder="1" applyAlignment="1">
      <alignment horizontal="left"/>
    </xf>
    <xf numFmtId="9" fontId="10" fillId="0" borderId="0" xfId="0" applyNumberFormat="1" applyFont="1" applyFill="1" applyBorder="1"/>
    <xf numFmtId="9" fontId="10" fillId="0" borderId="4" xfId="1" applyNumberFormat="1" applyFont="1" applyFill="1" applyBorder="1"/>
    <xf numFmtId="0" fontId="4" fillId="0" borderId="25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9" fontId="10" fillId="0" borderId="3" xfId="1" applyNumberFormat="1" applyFont="1" applyFill="1" applyBorder="1" applyAlignment="1">
      <alignment horizontal="right"/>
    </xf>
    <xf numFmtId="9" fontId="11" fillId="0" borderId="26" xfId="0" applyNumberFormat="1" applyFont="1" applyFill="1" applyBorder="1"/>
    <xf numFmtId="9" fontId="11" fillId="0" borderId="26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" fontId="10" fillId="0" borderId="27" xfId="0" applyNumberFormat="1" applyFont="1" applyFill="1" applyBorder="1"/>
    <xf numFmtId="9" fontId="10" fillId="0" borderId="28" xfId="1" applyNumberFormat="1" applyFont="1" applyFill="1" applyBorder="1"/>
    <xf numFmtId="3" fontId="10" fillId="0" borderId="29" xfId="0" applyNumberFormat="1" applyFont="1" applyFill="1" applyBorder="1"/>
    <xf numFmtId="9" fontId="10" fillId="0" borderId="30" xfId="0" applyNumberFormat="1" applyFont="1" applyFill="1" applyBorder="1"/>
    <xf numFmtId="9" fontId="10" fillId="0" borderId="16" xfId="1" applyNumberFormat="1" applyFont="1" applyFill="1" applyBorder="1" applyAlignment="1">
      <alignment horizontal="right"/>
    </xf>
    <xf numFmtId="9" fontId="11" fillId="0" borderId="16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5" fillId="0" borderId="14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/>
    <xf numFmtId="3" fontId="11" fillId="0" borderId="0" xfId="0" applyNumberFormat="1" applyFont="1"/>
    <xf numFmtId="3" fontId="1" fillId="0" borderId="0" xfId="0" applyNumberFormat="1" applyFont="1"/>
    <xf numFmtId="3" fontId="11" fillId="0" borderId="0" xfId="0" applyNumberFormat="1" applyFont="1" applyAlignment="1"/>
    <xf numFmtId="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justify" vertical="justify" wrapText="1"/>
    </xf>
    <xf numFmtId="0" fontId="1" fillId="0" borderId="0" xfId="0" applyFont="1" applyFill="1" applyBorder="1" applyAlignment="1">
      <alignment horizontal="justify" vertical="justify" wrapText="1"/>
    </xf>
    <xf numFmtId="0" fontId="1" fillId="0" borderId="3" xfId="0" applyFont="1" applyFill="1" applyBorder="1" applyAlignment="1">
      <alignment horizontal="justify" vertical="justify" wrapText="1"/>
    </xf>
    <xf numFmtId="3" fontId="1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13" fillId="0" borderId="12" xfId="0" applyNumberFormat="1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0" fontId="5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1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justify" vertical="justify" wrapText="1"/>
    </xf>
    <xf numFmtId="0" fontId="0" fillId="0" borderId="3" xfId="0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justify" wrapText="1"/>
    </xf>
    <xf numFmtId="0" fontId="1" fillId="0" borderId="0" xfId="0" applyFont="1" applyFill="1" applyBorder="1" applyAlignment="1">
      <alignment horizontal="left" vertical="justify" wrapText="1"/>
    </xf>
    <xf numFmtId="0" fontId="1" fillId="0" borderId="3" xfId="0" applyFont="1" applyFill="1" applyBorder="1" applyAlignment="1">
      <alignment horizontal="left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10</xdr:col>
      <xdr:colOff>9524</xdr:colOff>
      <xdr:row>0</xdr:row>
      <xdr:rowOff>199807</xdr:rowOff>
    </xdr:from>
    <xdr:to>
      <xdr:col>13</xdr:col>
      <xdr:colOff>293810</xdr:colOff>
      <xdr:row>4</xdr:row>
      <xdr:rowOff>9038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990B31-AC16-4C36-A426-BE9FAEA28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2324" y="199807"/>
          <a:ext cx="2179761" cy="723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220579</xdr:colOff>
      <xdr:row>0</xdr:row>
      <xdr:rowOff>70185</xdr:rowOff>
    </xdr:from>
    <xdr:to>
      <xdr:col>1</xdr:col>
      <xdr:colOff>1102894</xdr:colOff>
      <xdr:row>6</xdr:row>
      <xdr:rowOff>20054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579" y="7018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4</xdr:col>
      <xdr:colOff>401054</xdr:colOff>
      <xdr:row>0</xdr:row>
      <xdr:rowOff>150394</xdr:rowOff>
    </xdr:from>
    <xdr:to>
      <xdr:col>5</xdr:col>
      <xdr:colOff>465262</xdr:colOff>
      <xdr:row>4</xdr:row>
      <xdr:rowOff>71920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2A4927-C9D0-4B71-9BEB-473BE1FD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7422" y="150394"/>
          <a:ext cx="2179761" cy="723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E3FF4C-A643-443B-AE85-D878CE19420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10</xdr:col>
      <xdr:colOff>9524</xdr:colOff>
      <xdr:row>0</xdr:row>
      <xdr:rowOff>199807</xdr:rowOff>
    </xdr:from>
    <xdr:to>
      <xdr:col>13</xdr:col>
      <xdr:colOff>293810</xdr:colOff>
      <xdr:row>4</xdr:row>
      <xdr:rowOff>9038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B194DE-C296-41DA-BA8D-A490953C2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4" y="199807"/>
          <a:ext cx="2179761" cy="723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975D1E-4C62-4BC8-A868-A7418F418FA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11</xdr:col>
      <xdr:colOff>41847</xdr:colOff>
      <xdr:row>0</xdr:row>
      <xdr:rowOff>206546</xdr:rowOff>
    </xdr:from>
    <xdr:to>
      <xdr:col>13</xdr:col>
      <xdr:colOff>219075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45CE6D-AE0B-4923-B0D6-475624A70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6672" y="206546"/>
          <a:ext cx="1110678" cy="736429"/>
        </a:xfrm>
        <a:prstGeom prst="rect">
          <a:avLst/>
        </a:prstGeom>
        <a:solidFill>
          <a:srgbClr val="1F497D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"/>
  <sheetViews>
    <sheetView zoomScaleNormal="100" workbookViewId="0">
      <selection activeCell="E84" sqref="E84"/>
    </sheetView>
  </sheetViews>
  <sheetFormatPr baseColWidth="10" defaultColWidth="11.42578125" defaultRowHeight="12.75" x14ac:dyDescent="0.2"/>
  <cols>
    <col min="1" max="1" width="5.140625" style="82" customWidth="1"/>
    <col min="2" max="2" width="25.42578125" style="82" customWidth="1"/>
    <col min="3" max="3" width="1.140625" style="72" customWidth="1"/>
    <col min="4" max="4" width="17.85546875" style="14" customWidth="1"/>
    <col min="5" max="5" width="18.28515625" style="14" customWidth="1"/>
    <col min="6" max="6" width="28" style="14" bestFit="1" customWidth="1"/>
    <col min="7" max="7" width="10.85546875" style="14" customWidth="1"/>
    <col min="8" max="8" width="4.42578125" style="82" bestFit="1" customWidth="1"/>
    <col min="9" max="9" width="22.28515625" style="82" customWidth="1"/>
    <col min="10" max="10" width="2" style="72" customWidth="1"/>
    <col min="11" max="11" width="14.42578125" style="21" customWidth="1"/>
    <col min="12" max="12" width="14" style="14" customWidth="1"/>
    <col min="13" max="13" width="13.85546875" style="14" hidden="1" customWidth="1"/>
    <col min="14" max="14" width="7.42578125" style="82" customWidth="1"/>
    <col min="15" max="15" width="6.140625" style="82" hidden="1" customWidth="1"/>
    <col min="16" max="17" width="6.5703125" style="82" hidden="1" customWidth="1"/>
    <col min="18" max="18" width="7.85546875" style="82" hidden="1" customWidth="1"/>
    <col min="19" max="19" width="7" style="82" hidden="1" customWidth="1"/>
    <col min="20" max="22" width="11.42578125" style="82" hidden="1" customWidth="1"/>
    <col min="23" max="23" width="7.85546875" style="82" customWidth="1"/>
    <col min="24" max="24" width="4.85546875" style="82" customWidth="1"/>
    <col min="25" max="16384" width="11.42578125" style="82"/>
  </cols>
  <sheetData>
    <row r="1" spans="1:25" s="1" customFormat="1" ht="18" x14ac:dyDescent="0.25">
      <c r="A1" s="212" t="s">
        <v>174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</row>
    <row r="2" spans="1:25" s="1" customFormat="1" ht="18" x14ac:dyDescent="0.25">
      <c r="A2" s="215" t="s">
        <v>167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</row>
    <row r="3" spans="1:25" s="1" customFormat="1" ht="18" x14ac:dyDescent="0.25">
      <c r="A3" s="215" t="s">
        <v>173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1:25" s="1" customFormat="1" ht="18" x14ac:dyDescent="0.25">
      <c r="A4" s="215" t="s">
        <v>197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7"/>
    </row>
    <row r="5" spans="1:25" s="1" customFormat="1" ht="18" x14ac:dyDescent="0.25">
      <c r="A5" s="218" t="s">
        <v>68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</row>
    <row r="6" spans="1:25" s="2" customFormat="1" ht="14.25" customHeight="1" x14ac:dyDescent="0.2">
      <c r="A6" s="221" t="s">
        <v>0</v>
      </c>
      <c r="B6" s="222" t="s">
        <v>38</v>
      </c>
      <c r="C6" s="222"/>
      <c r="D6" s="94">
        <v>2025</v>
      </c>
      <c r="E6" s="94">
        <v>2024</v>
      </c>
      <c r="F6" s="44" t="s">
        <v>2</v>
      </c>
      <c r="G6" s="223" t="s">
        <v>151</v>
      </c>
      <c r="H6" s="224" t="s">
        <v>0</v>
      </c>
      <c r="I6" s="222" t="s">
        <v>38</v>
      </c>
      <c r="J6" s="222"/>
      <c r="K6" s="94">
        <v>2025</v>
      </c>
      <c r="L6" s="94">
        <v>2024</v>
      </c>
      <c r="M6" s="44" t="s">
        <v>2</v>
      </c>
      <c r="N6" s="225" t="s">
        <v>151</v>
      </c>
      <c r="P6" s="201" t="s">
        <v>1</v>
      </c>
      <c r="Q6" s="201"/>
      <c r="R6" s="201" t="s">
        <v>4</v>
      </c>
      <c r="S6" s="201"/>
    </row>
    <row r="7" spans="1:25" s="2" customFormat="1" ht="12" customHeight="1" x14ac:dyDescent="0.2">
      <c r="A7" s="221"/>
      <c r="B7" s="222"/>
      <c r="C7" s="222"/>
      <c r="D7" s="94" t="s">
        <v>198</v>
      </c>
      <c r="E7" s="94" t="s">
        <v>198</v>
      </c>
      <c r="F7" s="44" t="s">
        <v>5</v>
      </c>
      <c r="G7" s="223"/>
      <c r="H7" s="224"/>
      <c r="I7" s="222"/>
      <c r="J7" s="222"/>
      <c r="K7" s="94" t="s">
        <v>198</v>
      </c>
      <c r="L7" s="94" t="s">
        <v>198</v>
      </c>
      <c r="M7" s="44" t="s">
        <v>5</v>
      </c>
      <c r="N7" s="225"/>
    </row>
    <row r="8" spans="1:25" s="2" customFormat="1" ht="15.75" customHeight="1" x14ac:dyDescent="0.2">
      <c r="A8" s="110"/>
      <c r="B8" s="189" t="s">
        <v>1</v>
      </c>
      <c r="C8" s="44"/>
      <c r="D8" s="90"/>
      <c r="E8" s="90"/>
      <c r="F8" s="90"/>
      <c r="G8" s="125"/>
      <c r="H8" s="42"/>
      <c r="I8" s="189" t="s">
        <v>3</v>
      </c>
      <c r="J8" s="44"/>
      <c r="K8" s="20"/>
      <c r="L8" s="43"/>
      <c r="M8" s="43"/>
      <c r="N8" s="111"/>
    </row>
    <row r="9" spans="1:25" s="2" customFormat="1" ht="21.75" customHeight="1" x14ac:dyDescent="0.2">
      <c r="A9" s="110"/>
      <c r="B9" s="41" t="s">
        <v>69</v>
      </c>
      <c r="C9" s="44"/>
      <c r="D9" s="128">
        <f>+D10+D15+D21+D25</f>
        <v>280949874752.38</v>
      </c>
      <c r="E9" s="128">
        <f>+E10+E15+E21+E25</f>
        <v>225345287896.31</v>
      </c>
      <c r="F9" s="128">
        <f>+F10+F15+F21+F25</f>
        <v>55604586856.069984</v>
      </c>
      <c r="G9" s="129">
        <f>+F9/E9</f>
        <v>0.24675282707333906</v>
      </c>
      <c r="H9" s="42"/>
      <c r="I9" s="41" t="s">
        <v>93</v>
      </c>
      <c r="J9" s="44"/>
      <c r="K9" s="128">
        <f>+K10+K18+K21+K25</f>
        <v>38298082483.779999</v>
      </c>
      <c r="L9" s="128">
        <f>+L10+L18+L21+L25</f>
        <v>21866989952.540001</v>
      </c>
      <c r="M9" s="128">
        <f>+M10+M18+M21+M25</f>
        <v>16431092531.24</v>
      </c>
      <c r="N9" s="130">
        <f>+M9/L9</f>
        <v>0.7514108053692784</v>
      </c>
      <c r="P9" s="33">
        <f>+D9/D9*100</f>
        <v>100</v>
      </c>
      <c r="Q9" s="40">
        <f>+D9/D54*100</f>
        <v>45.666971090512163</v>
      </c>
    </row>
    <row r="10" spans="1:25" s="2" customFormat="1" ht="26.25" customHeight="1" x14ac:dyDescent="0.2">
      <c r="A10" s="115">
        <v>11</v>
      </c>
      <c r="B10" s="141" t="s">
        <v>70</v>
      </c>
      <c r="C10" s="44"/>
      <c r="D10" s="76">
        <f>SUM(D11:D13)</f>
        <v>261336700188.60999</v>
      </c>
      <c r="E10" s="76">
        <f>SUM(E11:E13)</f>
        <v>208754876774.84</v>
      </c>
      <c r="F10" s="76">
        <f>SUM(F11:F13)</f>
        <v>52581823413.769989</v>
      </c>
      <c r="G10" s="126">
        <f>+F10/E10</f>
        <v>0.25188308999594766</v>
      </c>
      <c r="H10" s="46">
        <v>24</v>
      </c>
      <c r="I10" s="45" t="s">
        <v>94</v>
      </c>
      <c r="J10" s="44"/>
      <c r="K10" s="76">
        <f>SUM(K11:K16)</f>
        <v>4949505949.8499994</v>
      </c>
      <c r="L10" s="76">
        <f>SUM(L11:L16)</f>
        <v>4846478687.2700005</v>
      </c>
      <c r="M10" s="76">
        <f>SUM(M11:M16)</f>
        <v>103027262.58000004</v>
      </c>
      <c r="N10" s="112">
        <f t="shared" ref="N10:N14" si="0">+M10/L10</f>
        <v>2.1258168915632814E-2</v>
      </c>
    </row>
    <row r="11" spans="1:25" s="2" customFormat="1" ht="24.75" customHeight="1" x14ac:dyDescent="0.2">
      <c r="A11" s="110">
        <v>1105</v>
      </c>
      <c r="B11" s="77" t="s">
        <v>176</v>
      </c>
      <c r="C11" s="69"/>
      <c r="D11" s="197">
        <v>751821690</v>
      </c>
      <c r="E11" s="197">
        <v>651207897</v>
      </c>
      <c r="F11" s="75">
        <f>+D11-E11</f>
        <v>100613793</v>
      </c>
      <c r="G11" s="127">
        <f>+F11/E11</f>
        <v>0.15450333674316605</v>
      </c>
      <c r="H11" s="47">
        <v>2401</v>
      </c>
      <c r="I11" s="77" t="s">
        <v>95</v>
      </c>
      <c r="J11" s="69"/>
      <c r="K11" s="197">
        <v>2052154577.73</v>
      </c>
      <c r="L11" s="197">
        <v>1779278282.22</v>
      </c>
      <c r="M11" s="75">
        <f>+K11-L11</f>
        <v>272876295.50999999</v>
      </c>
      <c r="N11" s="113">
        <f t="shared" si="0"/>
        <v>0.15336347227794692</v>
      </c>
    </row>
    <row r="12" spans="1:25" s="2" customFormat="1" ht="26.25" customHeight="1" x14ac:dyDescent="0.2">
      <c r="A12" s="110">
        <v>1110</v>
      </c>
      <c r="B12" s="77" t="s">
        <v>71</v>
      </c>
      <c r="C12" s="69"/>
      <c r="D12" s="197">
        <v>260370020671.01999</v>
      </c>
      <c r="E12" s="197">
        <v>208003556970.41</v>
      </c>
      <c r="F12" s="75">
        <f>+D12-E12</f>
        <v>52366463700.609985</v>
      </c>
      <c r="G12" s="127">
        <f>+F12/E12</f>
        <v>0.25175753945428681</v>
      </c>
      <c r="H12" s="47">
        <v>2407</v>
      </c>
      <c r="I12" s="77" t="s">
        <v>96</v>
      </c>
      <c r="J12" s="69"/>
      <c r="K12" s="197">
        <v>90954180</v>
      </c>
      <c r="L12" s="197">
        <v>404185826</v>
      </c>
      <c r="M12" s="75">
        <f t="shared" ref="M12:M14" si="1">+K12-L12</f>
        <v>-313231646</v>
      </c>
      <c r="N12" s="113">
        <f t="shared" si="0"/>
        <v>-0.77496939736822934</v>
      </c>
      <c r="P12" s="11">
        <f>+D10/$D$9*100</f>
        <v>93.018977288722255</v>
      </c>
      <c r="S12" s="11">
        <f>+K10/$K$35*100</f>
        <v>925.79587238393037</v>
      </c>
    </row>
    <row r="13" spans="1:25" s="2" customFormat="1" ht="18" customHeight="1" x14ac:dyDescent="0.2">
      <c r="A13" s="110">
        <v>1133</v>
      </c>
      <c r="B13" s="42" t="s">
        <v>72</v>
      </c>
      <c r="C13" s="69"/>
      <c r="D13" s="197">
        <v>214857827.59</v>
      </c>
      <c r="E13" s="197">
        <v>100111907.43000001</v>
      </c>
      <c r="F13" s="75">
        <f>+D13-E13</f>
        <v>114745920.16</v>
      </c>
      <c r="G13" s="127">
        <f>+F13/E13</f>
        <v>1.1461765448853558</v>
      </c>
      <c r="H13" s="47">
        <v>2424</v>
      </c>
      <c r="I13" s="77" t="s">
        <v>97</v>
      </c>
      <c r="J13" s="69"/>
      <c r="K13" s="197">
        <v>1328629640</v>
      </c>
      <c r="L13" s="197">
        <v>1338894532.76</v>
      </c>
      <c r="M13" s="75">
        <f t="shared" si="1"/>
        <v>-10264892.75999999</v>
      </c>
      <c r="N13" s="113">
        <f t="shared" si="0"/>
        <v>-7.6666925652761602E-3</v>
      </c>
      <c r="P13" s="11">
        <f>+D18/$D$9*100</f>
        <v>6.2815040657534587</v>
      </c>
      <c r="R13" s="11">
        <f>+K11/$K$10*100</f>
        <v>41.461806461555881</v>
      </c>
      <c r="S13" s="11"/>
    </row>
    <row r="14" spans="1:25" s="2" customFormat="1" ht="28.15" customHeight="1" x14ac:dyDescent="0.2">
      <c r="A14" s="115"/>
      <c r="B14" s="141"/>
      <c r="C14" s="69"/>
      <c r="D14" s="76"/>
      <c r="E14" s="76"/>
      <c r="F14" s="76"/>
      <c r="G14" s="187"/>
      <c r="H14" s="47">
        <v>2436</v>
      </c>
      <c r="I14" s="77" t="s">
        <v>98</v>
      </c>
      <c r="J14" s="69"/>
      <c r="K14" s="197">
        <v>175200407</v>
      </c>
      <c r="L14" s="197">
        <v>164854594</v>
      </c>
      <c r="M14" s="75">
        <f t="shared" si="1"/>
        <v>10345813</v>
      </c>
      <c r="N14" s="113">
        <f t="shared" si="0"/>
        <v>6.2757201658571918E-2</v>
      </c>
      <c r="P14" s="11"/>
      <c r="R14" s="11"/>
      <c r="S14" s="11"/>
      <c r="Y14" s="12"/>
    </row>
    <row r="15" spans="1:25" s="2" customFormat="1" ht="36" customHeight="1" x14ac:dyDescent="0.2">
      <c r="A15" s="115">
        <v>13</v>
      </c>
      <c r="B15" s="45" t="s">
        <v>73</v>
      </c>
      <c r="C15" s="44"/>
      <c r="D15" s="76">
        <f>SUM(D16:D19)</f>
        <v>17671525124.299999</v>
      </c>
      <c r="E15" s="76">
        <f t="shared" ref="E15:F15" si="2">SUM(E16:E19)</f>
        <v>15664377186.129999</v>
      </c>
      <c r="F15" s="76">
        <f t="shared" si="2"/>
        <v>2007147938.1699996</v>
      </c>
      <c r="G15" s="126">
        <f>+F15/E15</f>
        <v>0.12813455104664015</v>
      </c>
      <c r="H15" s="47">
        <v>2440</v>
      </c>
      <c r="I15" s="77" t="s">
        <v>99</v>
      </c>
      <c r="J15" s="69"/>
      <c r="K15" s="197">
        <v>832293940</v>
      </c>
      <c r="L15" s="197">
        <v>161406680</v>
      </c>
      <c r="M15" s="75">
        <f t="shared" ref="M15" si="3">+K15-L15</f>
        <v>670887260</v>
      </c>
      <c r="N15" s="113">
        <f>+M15/L15</f>
        <v>4.1565024446324035</v>
      </c>
      <c r="P15" s="11"/>
      <c r="R15" s="11">
        <f>+K12/$K$10*100</f>
        <v>1.837641593354514</v>
      </c>
      <c r="S15" s="11"/>
    </row>
    <row r="16" spans="1:25" s="2" customFormat="1" ht="20.25" customHeight="1" x14ac:dyDescent="0.2">
      <c r="A16" s="114">
        <v>1311</v>
      </c>
      <c r="B16" s="77" t="s">
        <v>199</v>
      </c>
      <c r="C16" s="69"/>
      <c r="D16" s="197">
        <v>17229751</v>
      </c>
      <c r="E16" s="197">
        <v>0</v>
      </c>
      <c r="F16" s="75">
        <f t="shared" ref="F16:F18" si="4">+D16-E16</f>
        <v>17229751</v>
      </c>
      <c r="G16" s="188" t="s">
        <v>6</v>
      </c>
      <c r="H16" s="42">
        <v>2490</v>
      </c>
      <c r="I16" s="42" t="s">
        <v>100</v>
      </c>
      <c r="J16" s="69"/>
      <c r="K16" s="197">
        <v>470273205.12</v>
      </c>
      <c r="L16" s="197">
        <v>997858772.28999996</v>
      </c>
      <c r="M16" s="75">
        <f t="shared" ref="M16" si="5">+K16-L16</f>
        <v>-527585567.16999996</v>
      </c>
      <c r="N16" s="113">
        <f t="shared" ref="N16" si="6">+M16/L16</f>
        <v>-0.52871767210026777</v>
      </c>
      <c r="P16" s="11">
        <f>+D20/$D$9*100</f>
        <v>0</v>
      </c>
      <c r="R16" s="11">
        <f>+K13/$K$10*100</f>
        <v>26.843682045483057</v>
      </c>
      <c r="S16" s="11"/>
    </row>
    <row r="17" spans="1:30" s="2" customFormat="1" ht="20.25" customHeight="1" x14ac:dyDescent="0.2">
      <c r="A17" s="114">
        <v>1316</v>
      </c>
      <c r="B17" s="77" t="s">
        <v>7</v>
      </c>
      <c r="C17" s="69"/>
      <c r="D17" s="197">
        <v>378300</v>
      </c>
      <c r="E17" s="197">
        <v>1310950</v>
      </c>
      <c r="F17" s="75">
        <f t="shared" si="4"/>
        <v>-932650</v>
      </c>
      <c r="G17" s="127">
        <f>+F17/E17</f>
        <v>-0.71143064190091154</v>
      </c>
      <c r="H17" s="42"/>
      <c r="I17" s="77"/>
      <c r="J17" s="69"/>
      <c r="K17" s="75"/>
      <c r="L17" s="75"/>
      <c r="M17" s="75"/>
      <c r="N17" s="116"/>
      <c r="P17" s="11" t="e">
        <f>+D22/$D$20*100</f>
        <v>#DIV/0!</v>
      </c>
      <c r="R17" s="11">
        <f>+K15/$K$10*100</f>
        <v>16.815697332886803</v>
      </c>
      <c r="S17" s="11"/>
    </row>
    <row r="18" spans="1:30" s="2" customFormat="1" ht="21.75" customHeight="1" x14ac:dyDescent="0.2">
      <c r="A18" s="117">
        <v>1317</v>
      </c>
      <c r="B18" s="77" t="s">
        <v>74</v>
      </c>
      <c r="C18" s="69"/>
      <c r="D18" s="197">
        <v>17647877805.299999</v>
      </c>
      <c r="E18" s="197">
        <v>15650576419.9</v>
      </c>
      <c r="F18" s="75">
        <f t="shared" si="4"/>
        <v>1997301385.3999996</v>
      </c>
      <c r="G18" s="127">
        <f t="shared" ref="G18:G19" si="7">+F18/E18</f>
        <v>0.12761839128560107</v>
      </c>
      <c r="H18" s="46">
        <v>25</v>
      </c>
      <c r="I18" s="141" t="s">
        <v>101</v>
      </c>
      <c r="J18" s="44"/>
      <c r="K18" s="76">
        <f>+K19</f>
        <v>12230143945.5</v>
      </c>
      <c r="L18" s="76">
        <f>+L19</f>
        <v>11867341617.6</v>
      </c>
      <c r="M18" s="76">
        <f>+M19</f>
        <v>362802327.89999962</v>
      </c>
      <c r="N18" s="112">
        <f>+M18/L18</f>
        <v>3.0571491037381226E-2</v>
      </c>
      <c r="P18" s="11"/>
      <c r="R18" s="11">
        <f>+K16/$K$10*100</f>
        <v>9.5014171087975399</v>
      </c>
      <c r="S18" s="11">
        <f>+K16/$K$35*100</f>
        <v>87.963727411228206</v>
      </c>
    </row>
    <row r="19" spans="1:30" s="2" customFormat="1" ht="25.5" customHeight="1" x14ac:dyDescent="0.2">
      <c r="A19" s="117">
        <v>1384</v>
      </c>
      <c r="B19" s="77" t="s">
        <v>75</v>
      </c>
      <c r="C19" s="69"/>
      <c r="D19" s="197">
        <v>6039268</v>
      </c>
      <c r="E19" s="197">
        <v>12489816.23</v>
      </c>
      <c r="F19" s="75">
        <f t="shared" ref="F19" si="8">+D19-E19</f>
        <v>-6450548.2300000004</v>
      </c>
      <c r="G19" s="127">
        <f t="shared" si="7"/>
        <v>-0.51646462295466455</v>
      </c>
      <c r="H19" s="49">
        <v>2511</v>
      </c>
      <c r="I19" s="77" t="s">
        <v>102</v>
      </c>
      <c r="J19" s="69"/>
      <c r="K19" s="197">
        <v>12230143945.5</v>
      </c>
      <c r="L19" s="197">
        <v>11867341617.6</v>
      </c>
      <c r="M19" s="75">
        <f>+K19-L19</f>
        <v>362802327.89999962</v>
      </c>
      <c r="N19" s="113">
        <f>+M19/L19</f>
        <v>3.0571491037381226E-2</v>
      </c>
      <c r="R19" s="11" t="e">
        <f>+#REF!/$K$10*100</f>
        <v>#REF!</v>
      </c>
      <c r="S19" s="11"/>
    </row>
    <row r="20" spans="1:30" s="2" customFormat="1" ht="1.5" customHeight="1" x14ac:dyDescent="0.2">
      <c r="A20" s="117"/>
      <c r="B20" s="77"/>
      <c r="C20" s="69"/>
      <c r="D20" s="75"/>
      <c r="E20" s="197"/>
      <c r="F20" s="75"/>
      <c r="G20" s="127"/>
      <c r="H20" s="42"/>
      <c r="I20" s="42"/>
      <c r="J20" s="69"/>
      <c r="K20" s="75"/>
      <c r="L20" s="75"/>
      <c r="M20" s="75"/>
      <c r="N20" s="118"/>
      <c r="S20" s="11"/>
      <c r="X20" s="47"/>
      <c r="Y20" s="12"/>
      <c r="AD20" s="127"/>
    </row>
    <row r="21" spans="1:30" s="2" customFormat="1" ht="21.75" customHeight="1" x14ac:dyDescent="0.2">
      <c r="A21" s="115">
        <v>15</v>
      </c>
      <c r="B21" s="45" t="s">
        <v>77</v>
      </c>
      <c r="C21" s="44"/>
      <c r="D21" s="76">
        <f>SUM(D22:D24)</f>
        <v>802540369.82000005</v>
      </c>
      <c r="E21" s="76">
        <f>SUM(E22:E24)</f>
        <v>492371390.68000001</v>
      </c>
      <c r="F21" s="76">
        <f>SUM(F22:F24)</f>
        <v>310168979.13999993</v>
      </c>
      <c r="G21" s="126">
        <f t="shared" ref="G21:G26" si="9">+F21/E21</f>
        <v>0.62994923143612069</v>
      </c>
      <c r="H21" s="46">
        <v>27</v>
      </c>
      <c r="I21" s="45" t="s">
        <v>103</v>
      </c>
      <c r="J21" s="44"/>
      <c r="K21" s="76">
        <f>SUM(K22:K23)</f>
        <v>199590594</v>
      </c>
      <c r="L21" s="76">
        <f>SUM(L22:L23)</f>
        <v>161712073</v>
      </c>
      <c r="M21" s="76">
        <f>SUM(M22:M23)</f>
        <v>37878521</v>
      </c>
      <c r="N21" s="112">
        <f>+M21/L21</f>
        <v>0.23423434192201592</v>
      </c>
      <c r="P21" s="11" t="e">
        <f>+#REF!/$D$20*100</f>
        <v>#REF!</v>
      </c>
      <c r="Q21" s="11"/>
      <c r="R21" s="11"/>
      <c r="S21" s="11">
        <f>+K18/$K$35*100</f>
        <v>2287.625653576265</v>
      </c>
      <c r="X21" s="47"/>
      <c r="Y21" s="12"/>
      <c r="AD21" s="127"/>
    </row>
    <row r="22" spans="1:30" s="2" customFormat="1" ht="18" customHeight="1" x14ac:dyDescent="0.2">
      <c r="A22" s="117">
        <v>1510</v>
      </c>
      <c r="B22" s="77" t="s">
        <v>78</v>
      </c>
      <c r="C22" s="69"/>
      <c r="D22" s="197">
        <v>162853972.44999999</v>
      </c>
      <c r="E22" s="197">
        <v>119767713.87</v>
      </c>
      <c r="F22" s="75">
        <f>+D22-E22</f>
        <v>43086258.579999983</v>
      </c>
      <c r="G22" s="127">
        <f t="shared" si="9"/>
        <v>0.35974852644150235</v>
      </c>
      <c r="H22" s="47">
        <v>2701</v>
      </c>
      <c r="I22" s="77" t="s">
        <v>28</v>
      </c>
      <c r="J22" s="69"/>
      <c r="K22" s="197">
        <v>199590594</v>
      </c>
      <c r="L22" s="197">
        <v>161712073</v>
      </c>
      <c r="M22" s="75">
        <f>+K22-L22</f>
        <v>37878521</v>
      </c>
      <c r="N22" s="113">
        <f>+M22/L22</f>
        <v>0.23423434192201592</v>
      </c>
      <c r="P22" s="11" t="e">
        <f>+D23/$D$20*100</f>
        <v>#DIV/0!</v>
      </c>
      <c r="R22" s="11"/>
      <c r="S22" s="11"/>
    </row>
    <row r="23" spans="1:30" s="2" customFormat="1" ht="19.5" customHeight="1" x14ac:dyDescent="0.2">
      <c r="A23" s="117">
        <v>1514</v>
      </c>
      <c r="B23" s="77" t="s">
        <v>79</v>
      </c>
      <c r="C23" s="69"/>
      <c r="D23" s="197">
        <v>637209949.28999996</v>
      </c>
      <c r="E23" s="197">
        <v>369748048.69</v>
      </c>
      <c r="F23" s="75">
        <f>+D23-E23</f>
        <v>267461900.59999996</v>
      </c>
      <c r="G23" s="127">
        <f t="shared" si="9"/>
        <v>0.7233625749956083</v>
      </c>
      <c r="H23" s="47"/>
      <c r="I23" s="77"/>
      <c r="J23" s="70"/>
      <c r="K23" s="75"/>
      <c r="L23" s="75"/>
      <c r="M23" s="75"/>
      <c r="N23" s="113"/>
      <c r="P23" s="11" t="e">
        <f>+D24/$D$20*100</f>
        <v>#DIV/0!</v>
      </c>
      <c r="R23" s="11"/>
      <c r="S23" s="11"/>
    </row>
    <row r="24" spans="1:30" s="2" customFormat="1" ht="20.25" customHeight="1" x14ac:dyDescent="0.2">
      <c r="A24" s="110">
        <v>1530</v>
      </c>
      <c r="B24" s="42" t="s">
        <v>9</v>
      </c>
      <c r="C24" s="69"/>
      <c r="D24" s="197">
        <v>2476448.08</v>
      </c>
      <c r="E24" s="197">
        <v>2855628.12</v>
      </c>
      <c r="F24" s="75">
        <f t="shared" ref="F24" si="10">+D24-E24</f>
        <v>-379180.04000000004</v>
      </c>
      <c r="G24" s="127">
        <f t="shared" si="9"/>
        <v>-0.13278341018717801</v>
      </c>
      <c r="H24" s="48"/>
      <c r="I24" s="49"/>
      <c r="J24" s="70"/>
      <c r="K24" s="75"/>
      <c r="L24" s="75"/>
      <c r="M24" s="75"/>
      <c r="N24" s="113"/>
      <c r="P24" s="11"/>
      <c r="R24" s="11"/>
      <c r="S24" s="11">
        <f>+K21/$K$35*100</f>
        <v>37.333048987941282</v>
      </c>
      <c r="Y24" s="12"/>
    </row>
    <row r="25" spans="1:30" s="2" customFormat="1" ht="18.75" customHeight="1" x14ac:dyDescent="0.2">
      <c r="A25" s="115">
        <v>19</v>
      </c>
      <c r="B25" s="45" t="s">
        <v>11</v>
      </c>
      <c r="C25" s="44"/>
      <c r="D25" s="76">
        <f>SUM(D26:D26)</f>
        <v>1139109069.6500001</v>
      </c>
      <c r="E25" s="76">
        <f>SUM(E26:E26)</f>
        <v>433662544.66000003</v>
      </c>
      <c r="F25" s="76">
        <f>SUM(F26:F26)</f>
        <v>705446524.99000001</v>
      </c>
      <c r="G25" s="126">
        <f t="shared" si="9"/>
        <v>1.6267176717857521</v>
      </c>
      <c r="H25" s="46">
        <v>29</v>
      </c>
      <c r="I25" s="45" t="s">
        <v>10</v>
      </c>
      <c r="J25" s="44"/>
      <c r="K25" s="76">
        <f>SUM(K26:K28)</f>
        <v>20918841994.43</v>
      </c>
      <c r="L25" s="76">
        <f t="shared" ref="L25:M25" si="11">SUM(L26:L28)</f>
        <v>4991457574.6700001</v>
      </c>
      <c r="M25" s="76">
        <f t="shared" si="11"/>
        <v>15927384419.76</v>
      </c>
      <c r="N25" s="112">
        <f>+M25/L25</f>
        <v>3.1909285377053429</v>
      </c>
      <c r="P25" s="11" t="e">
        <f>+#REF!/$D$9*100</f>
        <v>#REF!</v>
      </c>
      <c r="R25" s="11"/>
      <c r="S25" s="11"/>
      <c r="Z25" s="12"/>
    </row>
    <row r="26" spans="1:30" s="2" customFormat="1" ht="24.75" customHeight="1" x14ac:dyDescent="0.2">
      <c r="A26" s="117">
        <v>1906</v>
      </c>
      <c r="B26" s="77" t="s">
        <v>8</v>
      </c>
      <c r="C26" s="70"/>
      <c r="D26" s="197">
        <v>1139109069.6500001</v>
      </c>
      <c r="E26" s="197">
        <v>433662544.66000003</v>
      </c>
      <c r="F26" s="75">
        <f>+D26-E26</f>
        <v>705446524.99000001</v>
      </c>
      <c r="G26" s="127">
        <f t="shared" si="9"/>
        <v>1.6267176717857521</v>
      </c>
      <c r="H26" s="47">
        <v>2902</v>
      </c>
      <c r="I26" s="77" t="s">
        <v>104</v>
      </c>
      <c r="J26" s="69"/>
      <c r="K26" s="197">
        <v>15059453150.34</v>
      </c>
      <c r="L26" s="197">
        <v>1540561649.1500001</v>
      </c>
      <c r="M26" s="75">
        <f>+K26-L26</f>
        <v>13518891501.190001</v>
      </c>
      <c r="N26" s="113">
        <f>+M26/L26</f>
        <v>8.7753005591493238</v>
      </c>
      <c r="R26" s="11"/>
      <c r="S26" s="11"/>
    </row>
    <row r="27" spans="1:30" s="2" customFormat="1" ht="23.25" customHeight="1" x14ac:dyDescent="0.2">
      <c r="A27" s="117"/>
      <c r="B27" s="77"/>
      <c r="C27" s="70"/>
      <c r="D27" s="197"/>
      <c r="E27" s="197"/>
      <c r="F27" s="75"/>
      <c r="G27" s="127"/>
      <c r="H27" s="42">
        <v>2910</v>
      </c>
      <c r="I27" s="77" t="s">
        <v>12</v>
      </c>
      <c r="J27" s="69"/>
      <c r="K27" s="197">
        <v>3829228705.1999998</v>
      </c>
      <c r="L27" s="197">
        <v>2157725042.1599998</v>
      </c>
      <c r="M27" s="75">
        <f>+K27-L27</f>
        <v>1671503663.04</v>
      </c>
      <c r="N27" s="113">
        <f>+M27/L27</f>
        <v>0.77466017698285328</v>
      </c>
      <c r="R27" s="11"/>
      <c r="S27" s="11"/>
    </row>
    <row r="28" spans="1:30" s="2" customFormat="1" ht="21.95" customHeight="1" x14ac:dyDescent="0.2">
      <c r="A28" s="110"/>
      <c r="B28" s="41" t="s">
        <v>80</v>
      </c>
      <c r="C28" s="44"/>
      <c r="D28" s="128">
        <f>D29+D32+D47+D49</f>
        <v>334264727931.76996</v>
      </c>
      <c r="E28" s="128">
        <f>E29+E32+E47+E49</f>
        <v>291175465054.25006</v>
      </c>
      <c r="F28" s="128">
        <f>F29+F32+F47+F49</f>
        <v>43089262877.520004</v>
      </c>
      <c r="G28" s="129">
        <f>+F28/E28</f>
        <v>0.14798383809395435</v>
      </c>
      <c r="H28" s="42" t="s">
        <v>155</v>
      </c>
      <c r="I28" s="77" t="s">
        <v>156</v>
      </c>
      <c r="J28" s="69"/>
      <c r="K28" s="197">
        <v>2030160138.8900001</v>
      </c>
      <c r="L28" s="197">
        <v>1293170883.3599999</v>
      </c>
      <c r="M28" s="75">
        <f>+K28-L28</f>
        <v>736989255.53000021</v>
      </c>
      <c r="N28" s="113">
        <f>+M28/L28</f>
        <v>0.56990863698934147</v>
      </c>
      <c r="R28" s="11"/>
      <c r="S28" s="11">
        <f>+K25/$K$35*100</f>
        <v>3912.8304460532768</v>
      </c>
    </row>
    <row r="29" spans="1:30" s="2" customFormat="1" ht="21" customHeight="1" x14ac:dyDescent="0.2">
      <c r="A29" s="115">
        <v>13</v>
      </c>
      <c r="B29" s="45" t="s">
        <v>73</v>
      </c>
      <c r="C29" s="44"/>
      <c r="D29" s="76">
        <f>SUM(D30:D31)</f>
        <v>463180.73999999464</v>
      </c>
      <c r="E29" s="76">
        <f>SUM(E30:E31)</f>
        <v>5317633.880000025</v>
      </c>
      <c r="F29" s="76">
        <f>SUM(F30:F31)</f>
        <v>-4854453.1400000304</v>
      </c>
      <c r="G29" s="126">
        <f>+F29/E29</f>
        <v>-0.91289721134393098</v>
      </c>
      <c r="H29" s="42"/>
      <c r="I29" s="77"/>
      <c r="J29" s="69"/>
      <c r="K29" s="75"/>
      <c r="L29" s="75"/>
      <c r="M29" s="75"/>
      <c r="N29" s="113"/>
      <c r="R29" s="11"/>
      <c r="S29" s="11"/>
    </row>
    <row r="30" spans="1:30" s="2" customFormat="1" ht="25.5" customHeight="1" x14ac:dyDescent="0.2">
      <c r="A30" s="117">
        <v>1385</v>
      </c>
      <c r="B30" s="77" t="s">
        <v>158</v>
      </c>
      <c r="C30" s="69"/>
      <c r="D30" s="75">
        <v>100426376</v>
      </c>
      <c r="E30" s="197">
        <v>174691771.30000001</v>
      </c>
      <c r="F30" s="75">
        <f t="shared" ref="F30:F31" si="12">+D30-E30</f>
        <v>-74265395.300000012</v>
      </c>
      <c r="G30" s="127">
        <f t="shared" ref="G30:G31" si="13">+F30/E30</f>
        <v>-0.4251224585299056</v>
      </c>
      <c r="H30" s="42"/>
      <c r="I30" s="41"/>
      <c r="J30" s="44"/>
      <c r="K30" s="76"/>
      <c r="L30" s="76"/>
      <c r="M30" s="76"/>
      <c r="N30" s="112"/>
      <c r="P30" s="11"/>
      <c r="R30" s="11"/>
      <c r="S30" s="11"/>
    </row>
    <row r="31" spans="1:30" s="2" customFormat="1" ht="24" customHeight="1" x14ac:dyDescent="0.2">
      <c r="A31" s="117">
        <v>1386</v>
      </c>
      <c r="B31" s="77" t="s">
        <v>76</v>
      </c>
      <c r="C31" s="69"/>
      <c r="D31" s="197">
        <v>-99963195.260000005</v>
      </c>
      <c r="E31" s="197">
        <v>-169374137.41999999</v>
      </c>
      <c r="F31" s="75">
        <f t="shared" si="12"/>
        <v>69410942.159999982</v>
      </c>
      <c r="G31" s="127">
        <f t="shared" si="13"/>
        <v>-0.40980838761634819</v>
      </c>
      <c r="H31" s="47"/>
      <c r="I31" s="77"/>
      <c r="J31" s="69"/>
      <c r="K31" s="75"/>
      <c r="L31" s="75"/>
      <c r="M31" s="75"/>
      <c r="N31" s="113"/>
      <c r="P31" s="11" t="e">
        <f>+#REF!/$D$9*100</f>
        <v>#REF!</v>
      </c>
      <c r="R31" s="11"/>
      <c r="S31" s="11"/>
    </row>
    <row r="32" spans="1:30" s="2" customFormat="1" ht="17.25" customHeight="1" x14ac:dyDescent="0.2">
      <c r="A32" s="115">
        <v>16</v>
      </c>
      <c r="B32" s="46" t="s">
        <v>81</v>
      </c>
      <c r="C32" s="44"/>
      <c r="D32" s="76">
        <f>SUM(D33:D46)</f>
        <v>332358796862.87994</v>
      </c>
      <c r="E32" s="76">
        <f t="shared" ref="E32:F32" si="14">SUM(E33:E46)</f>
        <v>289048761677.05005</v>
      </c>
      <c r="F32" s="76">
        <f t="shared" si="14"/>
        <v>43310035185.830002</v>
      </c>
      <c r="G32" s="126">
        <f>+F32/E32</f>
        <v>0.14983643221492043</v>
      </c>
      <c r="H32" s="42"/>
      <c r="I32" s="41" t="s">
        <v>105</v>
      </c>
      <c r="J32" s="131"/>
      <c r="K32" s="128">
        <f>+K34+K37</f>
        <v>609966839.38999999</v>
      </c>
      <c r="L32" s="128">
        <f t="shared" ref="L32:M32" si="15">+L34+L37</f>
        <v>507393963</v>
      </c>
      <c r="M32" s="128">
        <f t="shared" si="15"/>
        <v>102572876.38999999</v>
      </c>
      <c r="N32" s="130">
        <f>+M32/L32</f>
        <v>0.20215628066114769</v>
      </c>
      <c r="P32" s="11"/>
      <c r="S32" s="11"/>
    </row>
    <row r="33" spans="1:26" s="2" customFormat="1" ht="16.5" customHeight="1" x14ac:dyDescent="0.2">
      <c r="A33" s="117">
        <v>1605</v>
      </c>
      <c r="B33" s="42" t="s">
        <v>14</v>
      </c>
      <c r="C33" s="69"/>
      <c r="D33" s="75">
        <v>268587060279.28</v>
      </c>
      <c r="E33" s="197">
        <v>238583643185.28</v>
      </c>
      <c r="F33" s="75">
        <f t="shared" ref="F33:F44" si="16">+D33-E33</f>
        <v>30003417094</v>
      </c>
      <c r="G33" s="127">
        <f t="shared" ref="G33:G43" si="17">+F33/E33</f>
        <v>0.12575638754371715</v>
      </c>
      <c r="H33" s="47"/>
      <c r="I33" s="77"/>
      <c r="J33" s="69"/>
      <c r="K33" s="75"/>
      <c r="L33" s="75"/>
      <c r="M33" s="75"/>
      <c r="N33" s="113"/>
      <c r="R33" s="11"/>
    </row>
    <row r="34" spans="1:26" s="2" customFormat="1" ht="21.75" customHeight="1" x14ac:dyDescent="0.2">
      <c r="A34" s="117">
        <v>1615</v>
      </c>
      <c r="B34" s="77" t="s">
        <v>82</v>
      </c>
      <c r="C34" s="156"/>
      <c r="D34" s="75">
        <v>249733128.78</v>
      </c>
      <c r="E34" s="197">
        <v>249733128.78</v>
      </c>
      <c r="F34" s="75">
        <f t="shared" si="16"/>
        <v>0</v>
      </c>
      <c r="G34" s="127">
        <f t="shared" si="17"/>
        <v>0</v>
      </c>
      <c r="H34" s="46">
        <v>25</v>
      </c>
      <c r="I34" s="91" t="s">
        <v>101</v>
      </c>
      <c r="J34" s="44"/>
      <c r="K34" s="76">
        <f>SUM(K35:K36)</f>
        <v>534621734.38999999</v>
      </c>
      <c r="L34" s="76">
        <f>SUM(L35:L36)</f>
        <v>448258063</v>
      </c>
      <c r="M34" s="76">
        <f>SUM(M35:M36)</f>
        <v>86363671.389999986</v>
      </c>
      <c r="N34" s="112">
        <f>+M34/L34</f>
        <v>0.19266507067827129</v>
      </c>
      <c r="P34" s="11"/>
      <c r="S34" s="11"/>
    </row>
    <row r="35" spans="1:26" s="2" customFormat="1" ht="24" customHeight="1" x14ac:dyDescent="0.2">
      <c r="A35" s="117">
        <v>1635</v>
      </c>
      <c r="B35" s="77" t="s">
        <v>16</v>
      </c>
      <c r="C35" s="156"/>
      <c r="D35" s="197">
        <v>157713554.62</v>
      </c>
      <c r="E35" s="197">
        <v>8426351</v>
      </c>
      <c r="F35" s="75">
        <f t="shared" si="16"/>
        <v>149287203.62</v>
      </c>
      <c r="G35" s="127">
        <f t="shared" si="17"/>
        <v>17.716708409132256</v>
      </c>
      <c r="H35" s="47">
        <v>2512</v>
      </c>
      <c r="I35" s="77" t="s">
        <v>106</v>
      </c>
      <c r="J35" s="69"/>
      <c r="K35" s="197">
        <v>534621734.38999999</v>
      </c>
      <c r="L35" s="197">
        <v>448258063</v>
      </c>
      <c r="M35" s="75">
        <f>+K35-L35</f>
        <v>86363671.389999986</v>
      </c>
      <c r="N35" s="113">
        <f>+M35/L35</f>
        <v>0.19266507067827129</v>
      </c>
      <c r="R35" s="11" t="e">
        <f>+#REF!/$K$35*100</f>
        <v>#REF!</v>
      </c>
      <c r="S35" s="11"/>
    </row>
    <row r="36" spans="1:26" s="2" customFormat="1" ht="23.25" customHeight="1" x14ac:dyDescent="0.2">
      <c r="A36" s="117">
        <v>1637</v>
      </c>
      <c r="B36" s="77" t="s">
        <v>83</v>
      </c>
      <c r="C36" s="156"/>
      <c r="D36" s="197">
        <v>359818144.76999998</v>
      </c>
      <c r="E36" s="197">
        <v>88638080</v>
      </c>
      <c r="F36" s="75">
        <f t="shared" si="16"/>
        <v>271180064.76999998</v>
      </c>
      <c r="G36" s="127">
        <f t="shared" si="17"/>
        <v>3.0594081547118348</v>
      </c>
      <c r="H36" s="150"/>
      <c r="I36" s="77"/>
      <c r="J36" s="69"/>
      <c r="K36" s="75"/>
      <c r="L36" s="75"/>
      <c r="M36" s="75"/>
      <c r="N36" s="113"/>
      <c r="R36" s="11"/>
      <c r="S36" s="11"/>
    </row>
    <row r="37" spans="1:26" s="2" customFormat="1" ht="16.5" customHeight="1" x14ac:dyDescent="0.2">
      <c r="A37" s="117">
        <v>1640</v>
      </c>
      <c r="B37" s="77" t="s">
        <v>17</v>
      </c>
      <c r="C37" s="69"/>
      <c r="D37" s="75">
        <v>59024909680.839996</v>
      </c>
      <c r="E37" s="197">
        <v>45764095273.839996</v>
      </c>
      <c r="F37" s="75">
        <f t="shared" si="16"/>
        <v>13260814407</v>
      </c>
      <c r="G37" s="127">
        <f t="shared" si="17"/>
        <v>0.28976459225624074</v>
      </c>
      <c r="H37" s="46">
        <v>27</v>
      </c>
      <c r="I37" s="45" t="s">
        <v>103</v>
      </c>
      <c r="J37" s="44"/>
      <c r="K37" s="76">
        <f>+K38</f>
        <v>75345105</v>
      </c>
      <c r="L37" s="76">
        <f>+L38</f>
        <v>59135900</v>
      </c>
      <c r="M37" s="76">
        <f>SUM(M38:M39)</f>
        <v>16209205</v>
      </c>
      <c r="N37" s="112">
        <f>+M37/L37</f>
        <v>0.27410092684815823</v>
      </c>
      <c r="R37" s="11"/>
      <c r="S37" s="11"/>
    </row>
    <row r="38" spans="1:26" s="2" customFormat="1" ht="16.5" customHeight="1" x14ac:dyDescent="0.2">
      <c r="A38" s="117">
        <v>1655</v>
      </c>
      <c r="B38" s="77" t="s">
        <v>19</v>
      </c>
      <c r="C38" s="156"/>
      <c r="D38" s="197">
        <v>2110883872.7</v>
      </c>
      <c r="E38" s="197">
        <v>1927647414.9000001</v>
      </c>
      <c r="F38" s="75">
        <f t="shared" si="16"/>
        <v>183236457.79999995</v>
      </c>
      <c r="G38" s="127">
        <f t="shared" si="17"/>
        <v>9.5057040195032583E-2</v>
      </c>
      <c r="H38" s="47">
        <v>2701</v>
      </c>
      <c r="I38" s="77" t="s">
        <v>28</v>
      </c>
      <c r="J38" s="69"/>
      <c r="K38" s="75">
        <v>75345105</v>
      </c>
      <c r="L38" s="197">
        <v>59135900</v>
      </c>
      <c r="M38" s="75">
        <f>+K38-L38</f>
        <v>16209205</v>
      </c>
      <c r="N38" s="113">
        <f>+M38/L38</f>
        <v>0.27410092684815823</v>
      </c>
      <c r="P38" s="40" t="e">
        <f>+#REF!/#REF!*100</f>
        <v>#REF!</v>
      </c>
      <c r="R38" s="11"/>
      <c r="S38" s="11"/>
      <c r="Z38" s="12"/>
    </row>
    <row r="39" spans="1:26" s="2" customFormat="1" ht="18" customHeight="1" x14ac:dyDescent="0.2">
      <c r="A39" s="117">
        <v>1660</v>
      </c>
      <c r="B39" s="77" t="s">
        <v>84</v>
      </c>
      <c r="C39" s="156"/>
      <c r="D39" s="197">
        <v>2510550964.46</v>
      </c>
      <c r="E39" s="197">
        <v>2527931594.46</v>
      </c>
      <c r="F39" s="75">
        <f t="shared" si="16"/>
        <v>-17380630</v>
      </c>
      <c r="G39" s="127">
        <f t="shared" si="17"/>
        <v>-6.8754352523185003E-3</v>
      </c>
      <c r="H39" s="42"/>
      <c r="I39" s="42"/>
      <c r="J39" s="69"/>
      <c r="K39" s="75"/>
      <c r="L39" s="75"/>
      <c r="M39" s="75"/>
      <c r="N39" s="113"/>
      <c r="R39" s="11"/>
    </row>
    <row r="40" spans="1:26" s="2" customFormat="1" ht="24.95" customHeight="1" x14ac:dyDescent="0.2">
      <c r="A40" s="117">
        <v>1665</v>
      </c>
      <c r="B40" s="77" t="s">
        <v>85</v>
      </c>
      <c r="C40" s="156"/>
      <c r="D40" s="197">
        <v>2192249401.29</v>
      </c>
      <c r="E40" s="197">
        <v>1145459638.23</v>
      </c>
      <c r="F40" s="75">
        <f t="shared" si="16"/>
        <v>1046789763.0599999</v>
      </c>
      <c r="G40" s="127">
        <f t="shared" si="17"/>
        <v>0.91386001577282305</v>
      </c>
      <c r="H40" s="42"/>
      <c r="I40" s="41" t="s">
        <v>13</v>
      </c>
      <c r="J40" s="44"/>
      <c r="K40" s="128">
        <f>+K9+K32</f>
        <v>38908049323.169998</v>
      </c>
      <c r="L40" s="128">
        <f t="shared" ref="L40:M40" si="18">+L9+L32</f>
        <v>22374383915.540001</v>
      </c>
      <c r="M40" s="128">
        <f t="shared" si="18"/>
        <v>16533665407.629999</v>
      </c>
      <c r="N40" s="130">
        <f>+M40/L40</f>
        <v>0.73895511358177046</v>
      </c>
      <c r="P40" s="40">
        <f>+D32/D54*100</f>
        <v>54.023229522318793</v>
      </c>
      <c r="R40" s="11"/>
      <c r="S40" s="11"/>
    </row>
    <row r="41" spans="1:26" s="2" customFormat="1" ht="24" customHeight="1" x14ac:dyDescent="0.2">
      <c r="A41" s="117">
        <v>1670</v>
      </c>
      <c r="B41" s="77" t="s">
        <v>86</v>
      </c>
      <c r="C41" s="156"/>
      <c r="D41" s="197">
        <v>12940428591.959999</v>
      </c>
      <c r="E41" s="197">
        <v>12062606656.030001</v>
      </c>
      <c r="F41" s="75">
        <f t="shared" si="16"/>
        <v>877821935.9299984</v>
      </c>
      <c r="G41" s="127">
        <f t="shared" si="17"/>
        <v>7.2772159530807734E-2</v>
      </c>
      <c r="H41" s="42"/>
      <c r="I41" s="41"/>
      <c r="J41" s="44"/>
      <c r="K41" s="183"/>
      <c r="L41" s="183"/>
      <c r="M41" s="183"/>
      <c r="N41" s="184"/>
      <c r="P41" s="11">
        <f>+D33/$D$32*100</f>
        <v>80.812381924131827</v>
      </c>
      <c r="R41" s="11"/>
      <c r="S41" s="11"/>
    </row>
    <row r="42" spans="1:26" s="2" customFormat="1" ht="24" customHeight="1" x14ac:dyDescent="0.2">
      <c r="A42" s="117">
        <v>1675</v>
      </c>
      <c r="B42" s="77" t="s">
        <v>87</v>
      </c>
      <c r="C42" s="156"/>
      <c r="D42" s="197">
        <v>1929741121</v>
      </c>
      <c r="E42" s="197">
        <v>1929741121</v>
      </c>
      <c r="F42" s="75">
        <f t="shared" si="16"/>
        <v>0</v>
      </c>
      <c r="G42" s="127">
        <f t="shared" si="17"/>
        <v>0</v>
      </c>
      <c r="H42" s="42"/>
      <c r="I42" s="41"/>
      <c r="J42" s="44"/>
      <c r="K42" s="76"/>
      <c r="L42" s="76"/>
      <c r="M42" s="76"/>
      <c r="N42" s="112"/>
      <c r="P42" s="11"/>
      <c r="R42" s="11"/>
      <c r="S42" s="11"/>
    </row>
    <row r="43" spans="1:26" s="2" customFormat="1" ht="21.95" customHeight="1" x14ac:dyDescent="0.2">
      <c r="A43" s="117">
        <v>1680</v>
      </c>
      <c r="B43" s="77" t="s">
        <v>88</v>
      </c>
      <c r="C43" s="156"/>
      <c r="D43" s="197">
        <v>670432676.19000006</v>
      </c>
      <c r="E43" s="197">
        <v>421976175.43000001</v>
      </c>
      <c r="F43" s="75">
        <f t="shared" si="16"/>
        <v>248456500.76000005</v>
      </c>
      <c r="G43" s="127">
        <f t="shared" si="17"/>
        <v>0.58879272154836504</v>
      </c>
      <c r="H43" s="48"/>
      <c r="I43" s="42"/>
      <c r="J43" s="69"/>
      <c r="K43" s="185"/>
      <c r="L43" s="185"/>
      <c r="M43" s="185"/>
      <c r="N43" s="186"/>
      <c r="P43" s="29">
        <f>+D34/$D$32*100</f>
        <v>7.5139617526967836E-2</v>
      </c>
      <c r="Q43" s="11">
        <f>+D32/D54*100</f>
        <v>54.023229522318793</v>
      </c>
      <c r="R43" s="11"/>
      <c r="S43" s="11"/>
    </row>
    <row r="44" spans="1:26" s="2" customFormat="1" ht="20.25" customHeight="1" x14ac:dyDescent="0.2">
      <c r="A44" s="117">
        <v>1681</v>
      </c>
      <c r="B44" s="77" t="s">
        <v>23</v>
      </c>
      <c r="C44" s="156"/>
      <c r="D44" s="197">
        <v>1684710031.6700001</v>
      </c>
      <c r="E44" s="197">
        <v>1425540389.6700001</v>
      </c>
      <c r="F44" s="75">
        <f t="shared" si="16"/>
        <v>259169642</v>
      </c>
      <c r="G44" s="127">
        <f>+F44/E44</f>
        <v>0.18180448893489118</v>
      </c>
      <c r="H44" s="42"/>
      <c r="I44" s="189" t="s">
        <v>15</v>
      </c>
      <c r="J44" s="44"/>
      <c r="K44" s="128">
        <f>+K47</f>
        <v>576306553360.9801</v>
      </c>
      <c r="L44" s="128">
        <f>+L47</f>
        <v>494146369035.01996</v>
      </c>
      <c r="M44" s="128">
        <f>+M47</f>
        <v>82160184325.960007</v>
      </c>
      <c r="N44" s="130">
        <f>+M44/L44</f>
        <v>0.1662668987862933</v>
      </c>
      <c r="R44" s="11"/>
      <c r="S44" s="11"/>
    </row>
    <row r="45" spans="1:26" s="2" customFormat="1" ht="25.5" customHeight="1" x14ac:dyDescent="0.2">
      <c r="A45" s="110">
        <v>1685</v>
      </c>
      <c r="B45" s="77" t="s">
        <v>89</v>
      </c>
      <c r="C45" s="69"/>
      <c r="D45" s="197">
        <v>-19809701455.900002</v>
      </c>
      <c r="E45" s="197">
        <v>-17086677331.57</v>
      </c>
      <c r="F45" s="75">
        <f t="shared" ref="F45:F46" si="19">+D45-E45</f>
        <v>-2723024124.3300018</v>
      </c>
      <c r="G45" s="127">
        <f>+F45/E45</f>
        <v>0.1593653389415178</v>
      </c>
      <c r="H45" s="48"/>
      <c r="I45" s="42"/>
      <c r="J45" s="69"/>
      <c r="K45" s="76"/>
      <c r="L45" s="76"/>
      <c r="M45" s="76"/>
      <c r="N45" s="118"/>
      <c r="P45" s="11"/>
      <c r="R45" s="11"/>
      <c r="S45" s="11"/>
    </row>
    <row r="46" spans="1:26" s="2" customFormat="1" ht="25.5" customHeight="1" x14ac:dyDescent="0.2">
      <c r="A46" s="110">
        <v>1695</v>
      </c>
      <c r="B46" s="77" t="s">
        <v>189</v>
      </c>
      <c r="C46" s="69"/>
      <c r="D46" s="75">
        <v>-249733128.78</v>
      </c>
      <c r="E46" s="197">
        <v>0</v>
      </c>
      <c r="F46" s="75">
        <f t="shared" si="19"/>
        <v>-249733128.78</v>
      </c>
      <c r="G46" s="188" t="s">
        <v>6</v>
      </c>
      <c r="H46" s="48"/>
      <c r="I46" s="42"/>
      <c r="J46" s="69"/>
      <c r="K46" s="76"/>
      <c r="L46" s="76"/>
      <c r="M46" s="76"/>
      <c r="N46" s="118"/>
      <c r="P46" s="11"/>
      <c r="R46" s="11"/>
      <c r="S46" s="11"/>
    </row>
    <row r="47" spans="1:26" s="2" customFormat="1" ht="33.75" x14ac:dyDescent="0.2">
      <c r="A47" s="115">
        <v>17</v>
      </c>
      <c r="B47" s="141" t="s">
        <v>21</v>
      </c>
      <c r="C47" s="44"/>
      <c r="D47" s="76">
        <f>+D48</f>
        <v>46206747.32</v>
      </c>
      <c r="E47" s="76">
        <f>+E48</f>
        <v>46206747.32</v>
      </c>
      <c r="F47" s="76">
        <f>+F48</f>
        <v>0</v>
      </c>
      <c r="G47" s="126">
        <f>+F47/E47</f>
        <v>0</v>
      </c>
      <c r="H47" s="46">
        <v>31</v>
      </c>
      <c r="I47" s="141" t="s">
        <v>116</v>
      </c>
      <c r="J47" s="44"/>
      <c r="K47" s="76">
        <f>SUM(K48:K51)</f>
        <v>576306553360.9801</v>
      </c>
      <c r="L47" s="76">
        <f>SUM(L48:L51)</f>
        <v>494146369035.01996</v>
      </c>
      <c r="M47" s="76">
        <f>SUM(M48:M51)</f>
        <v>82160184325.960007</v>
      </c>
      <c r="N47" s="112">
        <f t="shared" ref="N47:N49" si="20">+M47/L47</f>
        <v>0.1662668987862933</v>
      </c>
      <c r="P47" s="11">
        <f>+D36/$D$32*100</f>
        <v>0.10826195911355668</v>
      </c>
      <c r="R47" s="11">
        <f>+K41/$K$38*100</f>
        <v>0</v>
      </c>
      <c r="S47" s="11"/>
    </row>
    <row r="48" spans="1:26" s="2" customFormat="1" ht="20.25" customHeight="1" x14ac:dyDescent="0.2">
      <c r="A48" s="117">
        <v>1715</v>
      </c>
      <c r="B48" s="49" t="s">
        <v>22</v>
      </c>
      <c r="C48" s="70"/>
      <c r="D48" s="75">
        <v>46206747.32</v>
      </c>
      <c r="E48" s="75">
        <v>46206747.32</v>
      </c>
      <c r="F48" s="75">
        <f>+D48-E48</f>
        <v>0</v>
      </c>
      <c r="G48" s="127">
        <f>+F48/E48</f>
        <v>0</v>
      </c>
      <c r="H48" s="47">
        <v>3105</v>
      </c>
      <c r="I48" s="77" t="s">
        <v>18</v>
      </c>
      <c r="J48" s="69"/>
      <c r="K48" s="75">
        <v>44239962579.480003</v>
      </c>
      <c r="L48" s="197">
        <v>44239962579.480003</v>
      </c>
      <c r="M48" s="75">
        <f>+K48-L48</f>
        <v>0</v>
      </c>
      <c r="N48" s="113">
        <f>+M48/L48</f>
        <v>0</v>
      </c>
      <c r="P48" s="29">
        <f>+D37/$D$32*100</f>
        <v>17.759394436967977</v>
      </c>
      <c r="R48" s="11">
        <f>+K44/$K$38*100</f>
        <v>764889.17675671179</v>
      </c>
      <c r="S48" s="11"/>
    </row>
    <row r="49" spans="1:26" s="2" customFormat="1" ht="21.95" customHeight="1" x14ac:dyDescent="0.2">
      <c r="A49" s="115">
        <v>19</v>
      </c>
      <c r="B49" s="45" t="s">
        <v>11</v>
      </c>
      <c r="C49" s="44"/>
      <c r="D49" s="76">
        <f>SUM(D50:D53)</f>
        <v>1859261140.8299999</v>
      </c>
      <c r="E49" s="76">
        <f>SUM(E50:E53)</f>
        <v>2075178996</v>
      </c>
      <c r="F49" s="76">
        <f>SUM(F50:F53)</f>
        <v>-215917855.16999999</v>
      </c>
      <c r="G49" s="126">
        <f t="shared" ref="G49" si="21">+F49/E49</f>
        <v>-0.10404782218121486</v>
      </c>
      <c r="H49" s="47">
        <v>3109</v>
      </c>
      <c r="I49" s="77" t="s">
        <v>117</v>
      </c>
      <c r="J49" s="69"/>
      <c r="K49" s="197">
        <v>508654632194.31</v>
      </c>
      <c r="L49" s="197">
        <v>429391274570.94</v>
      </c>
      <c r="M49" s="75">
        <f>+K49-L49</f>
        <v>79263357623.369995</v>
      </c>
      <c r="N49" s="113">
        <f t="shared" si="20"/>
        <v>0.1845947095747863</v>
      </c>
      <c r="P49" s="11">
        <f>+D39/$D$32*100</f>
        <v>0.75537370701692874</v>
      </c>
      <c r="R49" s="11">
        <f>+K45/$K$38*100</f>
        <v>0</v>
      </c>
      <c r="S49" s="11"/>
    </row>
    <row r="50" spans="1:26" s="2" customFormat="1" ht="24" customHeight="1" x14ac:dyDescent="0.2">
      <c r="A50" s="117">
        <v>1905</v>
      </c>
      <c r="B50" s="77" t="s">
        <v>190</v>
      </c>
      <c r="C50" s="69"/>
      <c r="D50" s="197">
        <v>110208166.59999999</v>
      </c>
      <c r="E50" s="75">
        <v>0</v>
      </c>
      <c r="F50" s="75">
        <f>+D50-E50</f>
        <v>110208166.59999999</v>
      </c>
      <c r="G50" s="188" t="s">
        <v>6</v>
      </c>
      <c r="H50" s="47">
        <v>3110</v>
      </c>
      <c r="I50" s="77" t="s">
        <v>20</v>
      </c>
      <c r="J50" s="69"/>
      <c r="K50" s="75">
        <f>+'EST RESUL MARZO 2025-2024'!D77</f>
        <v>23411958587.190006</v>
      </c>
      <c r="L50" s="75">
        <f>+'EST RESUL MARZO 2025-2024'!E77</f>
        <v>20515131884.599998</v>
      </c>
      <c r="M50" s="75">
        <f>+K50-L50</f>
        <v>2896826702.5900078</v>
      </c>
      <c r="N50" s="113">
        <f>+M50/L50</f>
        <v>0.14120439092885168</v>
      </c>
      <c r="P50" s="11">
        <f>+D40/$D$32*100</f>
        <v>0.6596032426349312</v>
      </c>
      <c r="R50" s="11" t="e">
        <f>+#REF!/$K$38*100</f>
        <v>#REF!</v>
      </c>
      <c r="S50" s="11"/>
    </row>
    <row r="51" spans="1:26" s="2" customFormat="1" ht="24.75" customHeight="1" x14ac:dyDescent="0.2">
      <c r="A51" s="117">
        <v>1909</v>
      </c>
      <c r="B51" s="77" t="s">
        <v>90</v>
      </c>
      <c r="C51" s="69"/>
      <c r="D51" s="197">
        <v>1263704</v>
      </c>
      <c r="E51" s="197">
        <v>1263704</v>
      </c>
      <c r="F51" s="75">
        <f>+D51-E51</f>
        <v>0</v>
      </c>
      <c r="G51" s="127">
        <f>+F51/E51</f>
        <v>0</v>
      </c>
      <c r="H51" s="47"/>
      <c r="I51" s="77"/>
      <c r="J51" s="69"/>
      <c r="K51" s="75"/>
      <c r="L51" s="75"/>
      <c r="M51" s="75"/>
      <c r="N51" s="113"/>
      <c r="P51" s="29">
        <f>+D41/$D$32*100</f>
        <v>3.893511684993487</v>
      </c>
      <c r="R51" s="11"/>
      <c r="S51" s="11"/>
    </row>
    <row r="52" spans="1:26" s="2" customFormat="1" ht="18.75" customHeight="1" x14ac:dyDescent="0.2">
      <c r="A52" s="117">
        <v>1970</v>
      </c>
      <c r="B52" s="77" t="s">
        <v>91</v>
      </c>
      <c r="C52" s="69"/>
      <c r="D52" s="197">
        <v>3214036864.6700001</v>
      </c>
      <c r="E52" s="197">
        <v>3163011364.6700001</v>
      </c>
      <c r="F52" s="75">
        <f>+D52-E52</f>
        <v>51025500</v>
      </c>
      <c r="G52" s="127">
        <f t="shared" ref="G52:G53" si="22">+F52/E52</f>
        <v>1.6131936979405553E-2</v>
      </c>
      <c r="H52" s="42"/>
      <c r="I52" s="42"/>
      <c r="J52" s="69"/>
      <c r="K52" s="75"/>
      <c r="L52" s="75"/>
      <c r="M52" s="75"/>
      <c r="N52" s="118"/>
      <c r="P52" s="11">
        <f>+D42/$D$32*100</f>
        <v>0.58061984193430149</v>
      </c>
      <c r="R52" s="11"/>
      <c r="S52" s="11"/>
      <c r="Y52" s="12"/>
    </row>
    <row r="53" spans="1:26" s="2" customFormat="1" ht="24.75" customHeight="1" x14ac:dyDescent="0.2">
      <c r="A53" s="110">
        <v>1975</v>
      </c>
      <c r="B53" s="77" t="s">
        <v>92</v>
      </c>
      <c r="C53" s="69"/>
      <c r="D53" s="197">
        <v>-1466247594.4400001</v>
      </c>
      <c r="E53" s="197">
        <v>-1089096072.6700001</v>
      </c>
      <c r="F53" s="75">
        <f>+D53-E53</f>
        <v>-377151521.76999998</v>
      </c>
      <c r="G53" s="127">
        <f t="shared" si="22"/>
        <v>0.34629775208479541</v>
      </c>
      <c r="H53" s="42"/>
      <c r="I53" s="42"/>
      <c r="J53" s="69"/>
      <c r="K53" s="75"/>
      <c r="L53" s="75"/>
      <c r="M53" s="75"/>
      <c r="N53" s="118"/>
      <c r="P53" s="11">
        <f>+D43/$D$32*100</f>
        <v>0.20171955203779307</v>
      </c>
      <c r="R53" s="11"/>
      <c r="S53" s="11"/>
      <c r="Y53" s="12"/>
      <c r="Z53" s="12"/>
    </row>
    <row r="54" spans="1:26" s="2" customFormat="1" ht="27" customHeight="1" thickBot="1" x14ac:dyDescent="0.25">
      <c r="A54" s="134"/>
      <c r="B54" s="135" t="s">
        <v>24</v>
      </c>
      <c r="C54" s="136"/>
      <c r="D54" s="137">
        <f>+D9+D28</f>
        <v>615214602684.1499</v>
      </c>
      <c r="E54" s="137">
        <f>+E9+E28</f>
        <v>516520752950.56006</v>
      </c>
      <c r="F54" s="137">
        <f>+F9+F28</f>
        <v>98693849733.589996</v>
      </c>
      <c r="G54" s="138">
        <f>+F54/E54</f>
        <v>0.19107431631703808</v>
      </c>
      <c r="H54" s="139"/>
      <c r="I54" s="135" t="s">
        <v>25</v>
      </c>
      <c r="J54" s="136"/>
      <c r="K54" s="137">
        <f>+K40+K44</f>
        <v>615214602684.15015</v>
      </c>
      <c r="L54" s="137">
        <f>+L40+L44</f>
        <v>516520752950.55994</v>
      </c>
      <c r="M54" s="137">
        <f>+M40+M44</f>
        <v>98693849733.590012</v>
      </c>
      <c r="N54" s="140">
        <f>+M54/L54</f>
        <v>0.19107431631703817</v>
      </c>
      <c r="R54" s="11"/>
      <c r="S54" s="11"/>
      <c r="Y54" s="12">
        <f>+D54-K54</f>
        <v>0</v>
      </c>
      <c r="Z54" s="12">
        <f>+E54-L54</f>
        <v>0</v>
      </c>
    </row>
    <row r="55" spans="1:26" s="2" customFormat="1" ht="27" customHeight="1" x14ac:dyDescent="0.2">
      <c r="A55" s="145">
        <v>8</v>
      </c>
      <c r="B55" s="142" t="s">
        <v>26</v>
      </c>
      <c r="C55" s="143"/>
      <c r="D55" s="144">
        <f>+D56+D63+D59</f>
        <v>0</v>
      </c>
      <c r="E55" s="144">
        <f>+E56+E63+E59</f>
        <v>0</v>
      </c>
      <c r="F55" s="144">
        <f>+F56+F63+F59</f>
        <v>0</v>
      </c>
      <c r="G55" s="169">
        <v>0</v>
      </c>
      <c r="H55" s="170">
        <v>9</v>
      </c>
      <c r="I55" s="157" t="s">
        <v>27</v>
      </c>
      <c r="J55" s="143"/>
      <c r="K55" s="144">
        <f>+K56+K60+K63</f>
        <v>0</v>
      </c>
      <c r="L55" s="144">
        <f>+L56+L60+L63</f>
        <v>0</v>
      </c>
      <c r="M55" s="144">
        <f>+M56+M60+M63</f>
        <v>0</v>
      </c>
      <c r="N55" s="146">
        <v>0</v>
      </c>
      <c r="Q55" s="11" t="e">
        <f>+#REF!/D54*100</f>
        <v>#REF!</v>
      </c>
      <c r="R55" s="11"/>
      <c r="S55" s="11"/>
    </row>
    <row r="56" spans="1:26" s="2" customFormat="1" ht="20.25" customHeight="1" x14ac:dyDescent="0.2">
      <c r="A56" s="115">
        <v>81</v>
      </c>
      <c r="B56" s="41" t="s">
        <v>107</v>
      </c>
      <c r="C56" s="44"/>
      <c r="D56" s="76">
        <f>SUM(D57:D58)</f>
        <v>671914851</v>
      </c>
      <c r="E56" s="76">
        <f t="shared" ref="E56:F56" si="23">SUM(E57:E58)</f>
        <v>1130850259.28</v>
      </c>
      <c r="F56" s="76">
        <f t="shared" si="23"/>
        <v>-458935408.27999997</v>
      </c>
      <c r="G56" s="168">
        <f>+F56/E56</f>
        <v>-0.40583216435056496</v>
      </c>
      <c r="H56" s="171">
        <v>91</v>
      </c>
      <c r="I56" s="45" t="s">
        <v>111</v>
      </c>
      <c r="J56" s="44"/>
      <c r="K56" s="76">
        <f>SUM(K57:K59)</f>
        <v>6278411497.7600002</v>
      </c>
      <c r="L56" s="76">
        <f>SUM(L57:L59)</f>
        <v>4735993978.1300001</v>
      </c>
      <c r="M56" s="76">
        <f>SUM(M57:M59)</f>
        <v>1542417519.6300001</v>
      </c>
      <c r="N56" s="112">
        <f>+M56/L56</f>
        <v>0.32567978902689004</v>
      </c>
      <c r="R56" s="11"/>
      <c r="S56" s="11"/>
    </row>
    <row r="57" spans="1:26" s="2" customFormat="1" ht="21.75" customHeight="1" x14ac:dyDescent="0.2">
      <c r="A57" s="114">
        <v>8120</v>
      </c>
      <c r="B57" s="77" t="s">
        <v>108</v>
      </c>
      <c r="C57" s="69"/>
      <c r="D57" s="75">
        <v>13544742</v>
      </c>
      <c r="E57" s="197">
        <v>13544742</v>
      </c>
      <c r="F57" s="75">
        <f>+D57-E57</f>
        <v>0</v>
      </c>
      <c r="G57" s="163">
        <f>+F57/E57</f>
        <v>0</v>
      </c>
      <c r="H57" s="166">
        <v>9120</v>
      </c>
      <c r="I57" s="77" t="s">
        <v>108</v>
      </c>
      <c r="J57" s="69"/>
      <c r="K57" s="197">
        <v>0</v>
      </c>
      <c r="L57" s="197">
        <v>258091886</v>
      </c>
      <c r="M57" s="75">
        <f>+K57-L57</f>
        <v>-258091886</v>
      </c>
      <c r="N57" s="113">
        <f t="shared" ref="N57:N61" si="24">+M57/L57</f>
        <v>-1</v>
      </c>
      <c r="O57" s="12"/>
      <c r="Q57" s="12"/>
      <c r="R57" s="11"/>
      <c r="S57" s="11"/>
    </row>
    <row r="58" spans="1:26" s="2" customFormat="1" ht="24" customHeight="1" x14ac:dyDescent="0.2">
      <c r="A58" s="114">
        <v>8190</v>
      </c>
      <c r="B58" s="77" t="s">
        <v>109</v>
      </c>
      <c r="C58" s="69"/>
      <c r="D58" s="75">
        <v>658370109</v>
      </c>
      <c r="E58" s="197">
        <v>1117305517.28</v>
      </c>
      <c r="F58" s="75">
        <f>+D58-E58</f>
        <v>-458935408.27999997</v>
      </c>
      <c r="G58" s="163">
        <f>+F58/E58</f>
        <v>-0.4107519395386548</v>
      </c>
      <c r="H58" s="166">
        <v>9128</v>
      </c>
      <c r="I58" s="77" t="s">
        <v>112</v>
      </c>
      <c r="J58" s="69"/>
      <c r="K58" s="75">
        <v>2350109735.7600002</v>
      </c>
      <c r="L58" s="197">
        <v>781853198.13</v>
      </c>
      <c r="M58" s="75">
        <f>+K58-L58</f>
        <v>1568256537.6300001</v>
      </c>
      <c r="N58" s="113">
        <f t="shared" si="24"/>
        <v>2.0058196876100052</v>
      </c>
      <c r="P58" s="12">
        <f>+D54-K54</f>
        <v>0</v>
      </c>
    </row>
    <row r="59" spans="1:26" s="2" customFormat="1" ht="22.5" x14ac:dyDescent="0.2">
      <c r="A59" s="115"/>
      <c r="B59" s="91"/>
      <c r="C59" s="69"/>
      <c r="D59" s="79"/>
      <c r="E59" s="79"/>
      <c r="F59" s="79"/>
      <c r="G59" s="149"/>
      <c r="H59" s="166">
        <v>9190</v>
      </c>
      <c r="I59" s="77" t="s">
        <v>166</v>
      </c>
      <c r="J59" s="69"/>
      <c r="K59" s="75">
        <v>3928301762</v>
      </c>
      <c r="L59" s="197">
        <v>3696048894</v>
      </c>
      <c r="M59" s="75">
        <f>+K59-L59</f>
        <v>232252868</v>
      </c>
      <c r="N59" s="113">
        <f t="shared" si="24"/>
        <v>6.2838148157896095E-2</v>
      </c>
    </row>
    <row r="60" spans="1:26" s="2" customFormat="1" ht="20.25" customHeight="1" x14ac:dyDescent="0.2">
      <c r="A60" s="115"/>
      <c r="B60" s="91"/>
      <c r="C60" s="69"/>
      <c r="D60" s="79"/>
      <c r="E60" s="79"/>
      <c r="F60" s="79"/>
      <c r="G60" s="149"/>
      <c r="H60" s="171">
        <v>93</v>
      </c>
      <c r="I60" s="45" t="s">
        <v>177</v>
      </c>
      <c r="J60" s="44"/>
      <c r="K60" s="76">
        <f>+K61+K62</f>
        <v>10468817000</v>
      </c>
      <c r="L60" s="76">
        <f>+L61+L62</f>
        <v>228810264.18000001</v>
      </c>
      <c r="M60" s="76">
        <f>+M61+M62</f>
        <v>10240006735.82</v>
      </c>
      <c r="N60" s="112">
        <f>+M60/L60</f>
        <v>44.753266522014115</v>
      </c>
    </row>
    <row r="61" spans="1:26" s="2" customFormat="1" ht="21" customHeight="1" x14ac:dyDescent="0.2">
      <c r="A61" s="115"/>
      <c r="B61" s="91"/>
      <c r="C61" s="69"/>
      <c r="D61" s="79"/>
      <c r="E61" s="79"/>
      <c r="F61" s="79"/>
      <c r="G61" s="149"/>
      <c r="H61" s="166">
        <v>9308</v>
      </c>
      <c r="I61" s="77" t="s">
        <v>178</v>
      </c>
      <c r="J61" s="69"/>
      <c r="K61" s="197">
        <v>0</v>
      </c>
      <c r="L61" s="197">
        <v>228810264.18000001</v>
      </c>
      <c r="M61" s="75">
        <f>+K61-L61</f>
        <v>-228810264.18000001</v>
      </c>
      <c r="N61" s="113">
        <f t="shared" si="24"/>
        <v>-1</v>
      </c>
    </row>
    <row r="62" spans="1:26" s="2" customFormat="1" ht="21" customHeight="1" x14ac:dyDescent="0.2">
      <c r="A62" s="115"/>
      <c r="B62" s="91"/>
      <c r="C62" s="69"/>
      <c r="D62" s="79"/>
      <c r="E62" s="79"/>
      <c r="F62" s="79"/>
      <c r="G62" s="149"/>
      <c r="H62" s="166">
        <v>9390</v>
      </c>
      <c r="I62" s="77" t="s">
        <v>193</v>
      </c>
      <c r="J62" s="69"/>
      <c r="K62" s="75">
        <v>10468817000</v>
      </c>
      <c r="L62" s="197">
        <v>0</v>
      </c>
      <c r="M62" s="75">
        <f>+K62-L62</f>
        <v>10468817000</v>
      </c>
      <c r="N62" s="116" t="s">
        <v>6</v>
      </c>
    </row>
    <row r="63" spans="1:26" s="2" customFormat="1" ht="33" customHeight="1" x14ac:dyDescent="0.2">
      <c r="A63" s="115">
        <v>89</v>
      </c>
      <c r="B63" s="45" t="s">
        <v>164</v>
      </c>
      <c r="C63" s="44"/>
      <c r="D63" s="76">
        <f>SUM(D64:D65)</f>
        <v>-671914851</v>
      </c>
      <c r="E63" s="76">
        <f>SUM(E64:E65)</f>
        <v>-1130850259.28</v>
      </c>
      <c r="F63" s="76">
        <f>SUM(F64:F65)</f>
        <v>458935408.27999997</v>
      </c>
      <c r="G63" s="165">
        <f>+F63/E63</f>
        <v>-0.40583216435056496</v>
      </c>
      <c r="H63" s="167">
        <v>99</v>
      </c>
      <c r="I63" s="91" t="s">
        <v>163</v>
      </c>
      <c r="J63" s="44"/>
      <c r="K63" s="79">
        <f>SUM(K64:K65)</f>
        <v>-16747228497.76</v>
      </c>
      <c r="L63" s="79">
        <f>SUM(L64:L65)</f>
        <v>-4964804242.3100004</v>
      </c>
      <c r="M63" s="79">
        <f>SUM(M64:M65)</f>
        <v>-11782424255.450001</v>
      </c>
      <c r="N63" s="172">
        <f>+M63/L63</f>
        <v>2.3731900958028369</v>
      </c>
    </row>
    <row r="64" spans="1:26" s="2" customFormat="1" ht="22.5" x14ac:dyDescent="0.2">
      <c r="A64" s="114">
        <v>8905</v>
      </c>
      <c r="B64" s="77" t="s">
        <v>110</v>
      </c>
      <c r="C64" s="44"/>
      <c r="D64" s="75">
        <v>-671914851</v>
      </c>
      <c r="E64" s="197">
        <v>-1130850259.28</v>
      </c>
      <c r="F64" s="75">
        <f>+D64-E64</f>
        <v>458935408.27999997</v>
      </c>
      <c r="G64" s="173">
        <f>+F64/E64</f>
        <v>-0.40583216435056496</v>
      </c>
      <c r="H64" s="50">
        <v>9905</v>
      </c>
      <c r="I64" s="77" t="s">
        <v>168</v>
      </c>
      <c r="J64" s="44"/>
      <c r="K64" s="75">
        <v>-6278411497.7600002</v>
      </c>
      <c r="L64" s="197">
        <v>-4735993978.1300001</v>
      </c>
      <c r="M64" s="75">
        <f>+K64-L64</f>
        <v>-1542417519.6300001</v>
      </c>
      <c r="N64" s="116">
        <f t="shared" ref="N64:N65" si="25">+M64/L64</f>
        <v>0.32567978902689004</v>
      </c>
      <c r="V64" s="82"/>
    </row>
    <row r="65" spans="1:22" s="2" customFormat="1" ht="22.5" x14ac:dyDescent="0.2">
      <c r="A65" s="114"/>
      <c r="B65" s="77"/>
      <c r="C65" s="69"/>
      <c r="D65" s="80"/>
      <c r="E65" s="80"/>
      <c r="F65" s="75"/>
      <c r="G65" s="174"/>
      <c r="H65" s="50">
        <v>9915</v>
      </c>
      <c r="I65" s="77" t="s">
        <v>171</v>
      </c>
      <c r="J65" s="69"/>
      <c r="K65" s="75">
        <v>-10468817000</v>
      </c>
      <c r="L65" s="197">
        <v>-228810264.18000001</v>
      </c>
      <c r="M65" s="75">
        <f>+K65-L65</f>
        <v>-10240006735.82</v>
      </c>
      <c r="N65" s="116">
        <f t="shared" si="25"/>
        <v>44.753266522014115</v>
      </c>
      <c r="U65" s="82"/>
      <c r="V65" s="82"/>
    </row>
    <row r="66" spans="1:22" x14ac:dyDescent="0.2">
      <c r="A66" s="114"/>
      <c r="B66" s="77"/>
      <c r="C66" s="69"/>
      <c r="D66" s="80"/>
      <c r="E66" s="80"/>
      <c r="F66" s="75"/>
      <c r="G66" s="164"/>
      <c r="H66" s="50"/>
      <c r="I66" s="77"/>
      <c r="J66" s="69"/>
      <c r="K66" s="80"/>
      <c r="L66" s="80"/>
      <c r="M66" s="75"/>
      <c r="N66" s="116"/>
      <c r="O66" s="2"/>
      <c r="P66" s="2"/>
      <c r="Q66" s="2"/>
      <c r="R66" s="2"/>
      <c r="S66" s="2"/>
      <c r="T66" s="2"/>
    </row>
    <row r="67" spans="1:22" ht="42.75" customHeight="1" x14ac:dyDescent="0.2">
      <c r="A67" s="204" t="s">
        <v>200</v>
      </c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6"/>
      <c r="O67" s="2"/>
      <c r="P67" s="2"/>
      <c r="Q67" s="2"/>
      <c r="R67" s="2"/>
      <c r="S67" s="2"/>
      <c r="T67" s="2"/>
    </row>
  </sheetData>
  <mergeCells count="16">
    <mergeCell ref="A1:N1"/>
    <mergeCell ref="A4:N4"/>
    <mergeCell ref="A5:N5"/>
    <mergeCell ref="A6:A7"/>
    <mergeCell ref="B6:B7"/>
    <mergeCell ref="G6:G7"/>
    <mergeCell ref="H6:H7"/>
    <mergeCell ref="I6:I7"/>
    <mergeCell ref="N6:N7"/>
    <mergeCell ref="A3:N3"/>
    <mergeCell ref="A2:N2"/>
    <mergeCell ref="C6:C7"/>
    <mergeCell ref="J6:J7"/>
    <mergeCell ref="P6:Q6"/>
    <mergeCell ref="R6:S6"/>
    <mergeCell ref="A67:N67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9"/>
  <sheetViews>
    <sheetView zoomScale="95" zoomScaleNormal="95" workbookViewId="0">
      <selection activeCell="E91" sqref="E91"/>
    </sheetView>
  </sheetViews>
  <sheetFormatPr baseColWidth="10" defaultColWidth="11.42578125" defaultRowHeight="12.75" x14ac:dyDescent="0.2"/>
  <cols>
    <col min="1" max="1" width="8.7109375" style="8" bestFit="1" customWidth="1"/>
    <col min="2" max="2" width="45.42578125" style="3" customWidth="1"/>
    <col min="3" max="3" width="7.7109375" style="8" customWidth="1"/>
    <col min="4" max="4" width="31.7109375" style="17" customWidth="1"/>
    <col min="5" max="5" width="31.7109375" style="3" customWidth="1"/>
    <col min="6" max="6" width="15" style="9" bestFit="1" customWidth="1"/>
    <col min="7" max="7" width="8.28515625" style="8" bestFit="1" customWidth="1"/>
    <col min="8" max="8" width="25.140625" style="24" hidden="1" customWidth="1"/>
    <col min="9" max="9" width="16.42578125" style="3" hidden="1" customWidth="1"/>
    <col min="10" max="10" width="17.85546875" style="3" hidden="1" customWidth="1"/>
    <col min="11" max="11" width="16.140625" style="3" hidden="1" customWidth="1"/>
    <col min="12" max="12" width="13.85546875" style="3" hidden="1" customWidth="1"/>
    <col min="13" max="14" width="13.7109375" style="3" hidden="1" customWidth="1"/>
    <col min="15" max="15" width="11.42578125" style="3" hidden="1" customWidth="1"/>
    <col min="16" max="16" width="16.7109375" style="3" hidden="1" customWidth="1"/>
    <col min="17" max="18" width="11.42578125" style="3" hidden="1" customWidth="1"/>
    <col min="19" max="19" width="0" style="3" hidden="1" customWidth="1"/>
    <col min="20" max="20" width="7" style="3" hidden="1" customWidth="1"/>
    <col min="21" max="22" width="14.42578125" style="3" bestFit="1" customWidth="1"/>
    <col min="23" max="16384" width="11.42578125" style="3"/>
  </cols>
  <sheetData>
    <row r="1" spans="1:16" ht="15.75" customHeight="1" x14ac:dyDescent="0.25">
      <c r="A1" s="212" t="s">
        <v>174</v>
      </c>
      <c r="B1" s="213"/>
      <c r="C1" s="213"/>
      <c r="D1" s="213"/>
      <c r="E1" s="213"/>
      <c r="F1" s="213"/>
      <c r="G1" s="214"/>
      <c r="H1" s="151"/>
      <c r="I1" s="151"/>
      <c r="J1" s="151"/>
      <c r="K1" s="151"/>
      <c r="L1" s="152"/>
    </row>
    <row r="2" spans="1:16" ht="15" customHeight="1" x14ac:dyDescent="0.25">
      <c r="A2" s="215" t="s">
        <v>167</v>
      </c>
      <c r="B2" s="216"/>
      <c r="C2" s="216"/>
      <c r="D2" s="216"/>
      <c r="E2" s="216"/>
      <c r="F2" s="216"/>
      <c r="G2" s="217"/>
      <c r="H2" s="215"/>
      <c r="I2" s="216"/>
      <c r="J2" s="216"/>
      <c r="K2" s="216"/>
      <c r="L2" s="216"/>
      <c r="M2" s="216"/>
      <c r="N2" s="217"/>
    </row>
    <row r="3" spans="1:16" ht="16.5" customHeight="1" x14ac:dyDescent="0.3">
      <c r="A3" s="215" t="s">
        <v>154</v>
      </c>
      <c r="B3" s="216"/>
      <c r="C3" s="216"/>
      <c r="D3" s="216"/>
      <c r="E3" s="216"/>
      <c r="F3" s="216"/>
      <c r="G3" s="217"/>
      <c r="H3" s="38"/>
      <c r="I3" s="38"/>
      <c r="J3" s="38"/>
      <c r="K3" s="38"/>
      <c r="L3" s="39"/>
    </row>
    <row r="4" spans="1:16" ht="15.75" customHeight="1" x14ac:dyDescent="0.25">
      <c r="A4" s="215" t="s">
        <v>195</v>
      </c>
      <c r="B4" s="216"/>
      <c r="C4" s="216"/>
      <c r="D4" s="216"/>
      <c r="E4" s="216"/>
      <c r="F4" s="216"/>
      <c r="G4" s="217"/>
      <c r="H4" s="35"/>
      <c r="I4" s="35"/>
      <c r="J4" s="35"/>
      <c r="K4" s="35"/>
      <c r="L4" s="36"/>
    </row>
    <row r="5" spans="1:16" ht="15" customHeight="1" x14ac:dyDescent="0.25">
      <c r="A5" s="230" t="s">
        <v>68</v>
      </c>
      <c r="B5" s="231"/>
      <c r="C5" s="231"/>
      <c r="D5" s="231"/>
      <c r="E5" s="231"/>
      <c r="F5" s="231"/>
      <c r="G5" s="232"/>
      <c r="H5" s="17"/>
    </row>
    <row r="6" spans="1:16" ht="0.75" customHeight="1" x14ac:dyDescent="0.2">
      <c r="A6" s="97"/>
      <c r="B6" s="88"/>
      <c r="C6" s="67"/>
      <c r="D6" s="153"/>
      <c r="E6" s="93"/>
      <c r="F6" s="93"/>
      <c r="G6" s="120"/>
      <c r="H6" s="226" t="s">
        <v>37</v>
      </c>
      <c r="I6" s="227"/>
      <c r="J6" s="227"/>
      <c r="K6" s="227"/>
    </row>
    <row r="7" spans="1:16" x14ac:dyDescent="0.2">
      <c r="A7" s="236" t="s">
        <v>0</v>
      </c>
      <c r="B7" s="237" t="s">
        <v>38</v>
      </c>
      <c r="C7" s="237"/>
      <c r="D7" s="161">
        <v>2025</v>
      </c>
      <c r="E7" s="161">
        <v>2024</v>
      </c>
      <c r="F7" s="34" t="s">
        <v>2</v>
      </c>
      <c r="G7" s="228" t="s">
        <v>151</v>
      </c>
      <c r="H7" s="60" t="s">
        <v>39</v>
      </c>
      <c r="I7" s="61" t="s">
        <v>40</v>
      </c>
      <c r="J7" s="61" t="s">
        <v>41</v>
      </c>
      <c r="K7" s="61" t="s">
        <v>42</v>
      </c>
      <c r="L7" s="27" t="s">
        <v>43</v>
      </c>
      <c r="M7" s="28" t="s">
        <v>44</v>
      </c>
    </row>
    <row r="8" spans="1:16" x14ac:dyDescent="0.2">
      <c r="A8" s="236"/>
      <c r="B8" s="237"/>
      <c r="C8" s="237"/>
      <c r="D8" s="162" t="s">
        <v>198</v>
      </c>
      <c r="E8" s="162" t="s">
        <v>198</v>
      </c>
      <c r="F8" s="34" t="s">
        <v>5</v>
      </c>
      <c r="G8" s="229"/>
      <c r="H8" s="17"/>
    </row>
    <row r="9" spans="1:16" ht="0.75" customHeight="1" x14ac:dyDescent="0.2">
      <c r="A9" s="97"/>
      <c r="B9" s="56"/>
      <c r="C9" s="153"/>
      <c r="D9" s="87"/>
      <c r="E9" s="54"/>
      <c r="F9" s="31"/>
      <c r="G9" s="98"/>
      <c r="H9" s="17"/>
    </row>
    <row r="10" spans="1:16" ht="15.75" x14ac:dyDescent="0.25">
      <c r="A10" s="97"/>
      <c r="B10" s="190" t="s">
        <v>45</v>
      </c>
      <c r="C10" s="147"/>
      <c r="D10" s="132">
        <f>+D14+D18+D24+D28+D20</f>
        <v>65175363718</v>
      </c>
      <c r="E10" s="132">
        <f>+E14+E18+E24+E28+E20</f>
        <v>60476016886.309998</v>
      </c>
      <c r="F10" s="132">
        <f>+F14+F18+F24+F28+F20</f>
        <v>7877338041.5299978</v>
      </c>
      <c r="G10" s="133">
        <f>+F10/E10</f>
        <v>0.13025556984579117</v>
      </c>
      <c r="H10" s="86">
        <v>21801490870</v>
      </c>
      <c r="I10" s="9">
        <v>16171306615</v>
      </c>
      <c r="J10" s="17">
        <v>19159708634.290001</v>
      </c>
      <c r="K10" s="9">
        <f>+D10-H10-I10-J10</f>
        <v>8042857598.7099991</v>
      </c>
      <c r="L10" s="9">
        <f>+H10+I10+J10+K10</f>
        <v>65175363718</v>
      </c>
      <c r="M10" s="32">
        <f>+D10/D10*100</f>
        <v>100</v>
      </c>
      <c r="P10" s="9">
        <f>+L10-D10</f>
        <v>0</v>
      </c>
    </row>
    <row r="11" spans="1:16" ht="1.5" customHeight="1" x14ac:dyDescent="0.25">
      <c r="A11" s="97"/>
      <c r="B11" s="51"/>
      <c r="C11" s="35"/>
      <c r="D11" s="13"/>
      <c r="E11" s="52"/>
      <c r="F11" s="31"/>
      <c r="G11" s="100"/>
      <c r="H11" s="17"/>
      <c r="J11" s="17"/>
      <c r="K11" s="9">
        <f t="shared" ref="K11:K39" si="0">+D11-H11-I11-J11</f>
        <v>0</v>
      </c>
      <c r="L11" s="9"/>
      <c r="P11" s="9">
        <f t="shared" ref="P11:P39" si="1">+L11-D11</f>
        <v>0</v>
      </c>
    </row>
    <row r="12" spans="1:16" ht="15" x14ac:dyDescent="0.2">
      <c r="A12" s="97"/>
      <c r="B12" s="182" t="s">
        <v>118</v>
      </c>
      <c r="C12" s="147"/>
      <c r="D12" s="182"/>
      <c r="E12" s="7"/>
      <c r="F12" s="31"/>
      <c r="G12" s="101"/>
      <c r="H12" s="86">
        <v>3524350</v>
      </c>
      <c r="I12" s="9">
        <v>7723100</v>
      </c>
      <c r="J12" s="17">
        <v>2667700</v>
      </c>
      <c r="K12" s="9">
        <f t="shared" ref="K12:K26" si="2">+D14-H12-I12-J12</f>
        <v>2196021888</v>
      </c>
      <c r="L12" s="9">
        <f t="shared" ref="L12:L52" si="3">+H12+I12+J12+K12</f>
        <v>2209937038</v>
      </c>
      <c r="M12" s="30">
        <f>+$D$14/$D$10*100</f>
        <v>3.390755205543508</v>
      </c>
      <c r="P12" s="9">
        <f t="shared" ref="P12:P26" si="4">+L12-D14</f>
        <v>0</v>
      </c>
    </row>
    <row r="13" spans="1:16" ht="0.75" customHeight="1" x14ac:dyDescent="0.2">
      <c r="A13" s="97"/>
      <c r="B13" s="7"/>
      <c r="C13" s="67"/>
      <c r="D13" s="18"/>
      <c r="E13" s="7"/>
      <c r="F13" s="31"/>
      <c r="G13" s="101"/>
      <c r="H13" s="86">
        <v>0</v>
      </c>
      <c r="I13" s="9">
        <v>0</v>
      </c>
      <c r="J13" s="17">
        <v>0</v>
      </c>
      <c r="K13" s="9">
        <f>+D16-H13-I13-J13</f>
        <v>17229751</v>
      </c>
      <c r="L13" s="9">
        <f t="shared" si="3"/>
        <v>17229751</v>
      </c>
      <c r="P13" s="9">
        <f>+L13-D16</f>
        <v>0</v>
      </c>
    </row>
    <row r="14" spans="1:16" x14ac:dyDescent="0.2">
      <c r="A14" s="102">
        <v>41</v>
      </c>
      <c r="B14" s="4" t="s">
        <v>64</v>
      </c>
      <c r="C14" s="147"/>
      <c r="D14" s="52">
        <f>SUM(D15:D16)</f>
        <v>2209937038</v>
      </c>
      <c r="E14" s="52">
        <f>SUM(E15:E16)</f>
        <v>0</v>
      </c>
      <c r="F14" s="52">
        <f>SUM(F15:F16)</f>
        <v>2209937038</v>
      </c>
      <c r="G14" s="99" t="s">
        <v>6</v>
      </c>
      <c r="H14" s="86">
        <v>5518300</v>
      </c>
      <c r="I14" s="9">
        <v>11831900</v>
      </c>
      <c r="J14" s="17">
        <v>4208100</v>
      </c>
      <c r="K14" s="9">
        <f>+D17-H14-I14-J14</f>
        <v>-21558300</v>
      </c>
      <c r="L14" s="9">
        <f t="shared" si="3"/>
        <v>0</v>
      </c>
      <c r="P14" s="9">
        <f>+L14-D17</f>
        <v>0</v>
      </c>
    </row>
    <row r="15" spans="1:16" ht="16.5" customHeight="1" x14ac:dyDescent="0.2">
      <c r="A15" s="97">
        <v>4105</v>
      </c>
      <c r="B15" s="59" t="s">
        <v>169</v>
      </c>
      <c r="C15" s="147"/>
      <c r="D15" s="198">
        <v>2192707287</v>
      </c>
      <c r="E15" s="191">
        <v>0</v>
      </c>
      <c r="F15" s="31">
        <f>+D15-E15</f>
        <v>2192707287</v>
      </c>
      <c r="G15" s="58" t="s">
        <v>6</v>
      </c>
      <c r="H15" s="86"/>
      <c r="I15" s="9"/>
      <c r="J15" s="17"/>
      <c r="K15" s="9"/>
      <c r="L15" s="9"/>
      <c r="P15" s="9"/>
    </row>
    <row r="16" spans="1:16" ht="25.5" x14ac:dyDescent="0.2">
      <c r="A16" s="97" t="s">
        <v>119</v>
      </c>
      <c r="B16" s="158" t="s">
        <v>120</v>
      </c>
      <c r="C16" s="96"/>
      <c r="D16" s="198">
        <v>17229751</v>
      </c>
      <c r="E16" s="57">
        <v>0</v>
      </c>
      <c r="F16" s="31">
        <f>+D16-E16</f>
        <v>17229751</v>
      </c>
      <c r="G16" s="58" t="s">
        <v>6</v>
      </c>
      <c r="H16" s="86">
        <v>-1993950</v>
      </c>
      <c r="I16" s="9">
        <v>-4108800</v>
      </c>
      <c r="J16" s="17">
        <v>-1540400</v>
      </c>
      <c r="K16" s="9">
        <f t="shared" si="2"/>
        <v>6480063935</v>
      </c>
      <c r="L16" s="9">
        <f t="shared" si="3"/>
        <v>6472420785</v>
      </c>
      <c r="P16" s="9">
        <f t="shared" si="4"/>
        <v>0</v>
      </c>
    </row>
    <row r="17" spans="1:16" ht="6.75" customHeight="1" x14ac:dyDescent="0.25">
      <c r="A17" s="97"/>
      <c r="B17" s="51"/>
      <c r="C17" s="35"/>
      <c r="D17" s="13"/>
      <c r="E17" s="52"/>
      <c r="F17" s="31"/>
      <c r="G17" s="100"/>
      <c r="H17" s="17"/>
      <c r="I17" s="9"/>
      <c r="J17" s="17"/>
      <c r="K17" s="9">
        <f t="shared" si="2"/>
        <v>6472420785</v>
      </c>
      <c r="L17" s="9"/>
      <c r="P17" s="9">
        <f t="shared" si="4"/>
        <v>-6472420785</v>
      </c>
    </row>
    <row r="18" spans="1:16" ht="15.75" customHeight="1" x14ac:dyDescent="0.2">
      <c r="A18" s="102">
        <v>44</v>
      </c>
      <c r="B18" s="4" t="s">
        <v>121</v>
      </c>
      <c r="C18" s="147"/>
      <c r="D18" s="52">
        <f>+D19</f>
        <v>6472420785</v>
      </c>
      <c r="E18" s="52">
        <f>+E19</f>
        <v>5575855304</v>
      </c>
      <c r="F18" s="52">
        <f>SUM(F19:F22)</f>
        <v>4385760865.9199991</v>
      </c>
      <c r="G18" s="99">
        <f>+F18/E18</f>
        <v>0.78656289067862784</v>
      </c>
      <c r="H18" s="86">
        <v>6452609021</v>
      </c>
      <c r="I18" s="9">
        <v>2303483948</v>
      </c>
      <c r="J18" s="17">
        <v>7506641724.2900009</v>
      </c>
      <c r="K18" s="9">
        <f>+D22-H18-I18-J18</f>
        <v>-16262734693.290001</v>
      </c>
      <c r="L18" s="9">
        <f t="shared" si="3"/>
        <v>0</v>
      </c>
      <c r="M18" s="30">
        <f>+$D$22/$D$10*100</f>
        <v>0</v>
      </c>
      <c r="P18" s="9">
        <f>+L18-D22</f>
        <v>0</v>
      </c>
    </row>
    <row r="19" spans="1:16" ht="18" customHeight="1" x14ac:dyDescent="0.2">
      <c r="A19" s="103" t="s">
        <v>122</v>
      </c>
      <c r="B19" s="6" t="s">
        <v>50</v>
      </c>
      <c r="C19" s="96"/>
      <c r="D19" s="198">
        <v>6472420785</v>
      </c>
      <c r="E19" s="198">
        <v>5575855304</v>
      </c>
      <c r="F19" s="31">
        <f>+D19-E19</f>
        <v>896565481</v>
      </c>
      <c r="G19" s="58">
        <f>+F19/E19</f>
        <v>0.16079425166517916</v>
      </c>
      <c r="H19" s="86">
        <v>6446078735</v>
      </c>
      <c r="I19" s="9">
        <v>2291016743</v>
      </c>
      <c r="J19" s="17">
        <v>7497284163.2900009</v>
      </c>
      <c r="K19" s="9">
        <f>+D23-H19-I19-J19</f>
        <v>-16234379641.290001</v>
      </c>
      <c r="L19" s="9">
        <f t="shared" si="3"/>
        <v>0</v>
      </c>
      <c r="P19" s="9">
        <f>+L19-D23</f>
        <v>0</v>
      </c>
    </row>
    <row r="20" spans="1:16" ht="18" customHeight="1" x14ac:dyDescent="0.2">
      <c r="A20" s="102">
        <v>47</v>
      </c>
      <c r="B20" s="4" t="s">
        <v>191</v>
      </c>
      <c r="C20" s="96"/>
      <c r="D20" s="52">
        <f>+D21</f>
        <v>44205829637</v>
      </c>
      <c r="E20" s="52">
        <f>+E21</f>
        <v>42305629857</v>
      </c>
      <c r="F20" s="52">
        <f>SUM(F21:F24)</f>
        <v>1588995604.9199991</v>
      </c>
      <c r="G20" s="99">
        <f>+F20/E20</f>
        <v>3.7559908936258983E-2</v>
      </c>
      <c r="H20" s="86"/>
      <c r="I20" s="9"/>
      <c r="J20" s="17"/>
      <c r="K20" s="9"/>
      <c r="L20" s="9"/>
      <c r="P20" s="9"/>
    </row>
    <row r="21" spans="1:16" ht="18" customHeight="1" x14ac:dyDescent="0.2">
      <c r="A21" s="97">
        <v>4705</v>
      </c>
      <c r="B21" s="7" t="s">
        <v>192</v>
      </c>
      <c r="C21" s="96"/>
      <c r="D21" s="198">
        <v>44205829637</v>
      </c>
      <c r="E21" s="198">
        <v>42305629857</v>
      </c>
      <c r="F21" s="31">
        <f>+D21-E21</f>
        <v>1900199780</v>
      </c>
      <c r="G21" s="58">
        <f>+F21/E21</f>
        <v>4.4916002584596625E-2</v>
      </c>
      <c r="H21" s="86"/>
      <c r="I21" s="9"/>
      <c r="J21" s="17"/>
      <c r="K21" s="9"/>
      <c r="L21" s="9"/>
      <c r="P21" s="9"/>
    </row>
    <row r="22" spans="1:16" ht="9" customHeight="1" x14ac:dyDescent="0.2">
      <c r="A22" s="104"/>
      <c r="B22" s="78"/>
      <c r="C22" s="96"/>
      <c r="D22" s="57"/>
      <c r="E22" s="57"/>
      <c r="F22" s="31"/>
      <c r="G22" s="58"/>
      <c r="H22" s="86">
        <v>6530286</v>
      </c>
      <c r="I22" s="9">
        <v>12467205</v>
      </c>
      <c r="J22" s="17">
        <v>9357561</v>
      </c>
      <c r="K22" s="9">
        <f>+D24-H22-I22-J22</f>
        <v>12248335745</v>
      </c>
      <c r="L22" s="9">
        <f t="shared" si="3"/>
        <v>12276690797</v>
      </c>
      <c r="P22" s="9">
        <f>+L22-D24</f>
        <v>0</v>
      </c>
    </row>
    <row r="23" spans="1:16" ht="15.75" customHeight="1" x14ac:dyDescent="0.2">
      <c r="A23" s="97"/>
      <c r="B23" s="182" t="s">
        <v>123</v>
      </c>
      <c r="C23" s="147"/>
      <c r="D23" s="182"/>
      <c r="E23" s="52"/>
      <c r="F23" s="31"/>
      <c r="G23" s="100"/>
      <c r="H23" s="62"/>
      <c r="I23" s="9"/>
      <c r="J23" s="17"/>
      <c r="K23" s="9">
        <f t="shared" si="2"/>
        <v>10888147923</v>
      </c>
      <c r="L23" s="9"/>
      <c r="M23" s="30">
        <f>+$D$25/$D$10*100</f>
        <v>16.705925831286052</v>
      </c>
      <c r="P23" s="9">
        <f t="shared" si="4"/>
        <v>-10888147923</v>
      </c>
    </row>
    <row r="24" spans="1:16" ht="15" customHeight="1" x14ac:dyDescent="0.2">
      <c r="A24" s="102">
        <v>43</v>
      </c>
      <c r="B24" s="4" t="s">
        <v>47</v>
      </c>
      <c r="C24" s="147"/>
      <c r="D24" s="53">
        <f>SUM(D25:D27)</f>
        <v>12276690797</v>
      </c>
      <c r="E24" s="53">
        <f>SUM(E25:E27)</f>
        <v>12587894972.080002</v>
      </c>
      <c r="F24" s="53">
        <f t="shared" ref="F24" si="5">SUM(F25:F27)</f>
        <v>-311204175.08000088</v>
      </c>
      <c r="G24" s="99">
        <f t="shared" ref="G24" si="6">+F24/E24</f>
        <v>-2.4722495363224184E-2</v>
      </c>
      <c r="H24" s="86">
        <v>15345357499</v>
      </c>
      <c r="I24" s="9">
        <v>13860099567</v>
      </c>
      <c r="J24" s="17">
        <v>11650399210</v>
      </c>
      <c r="K24" s="9">
        <f t="shared" si="2"/>
        <v>-39467313402</v>
      </c>
      <c r="L24" s="9">
        <f t="shared" si="3"/>
        <v>1388542874</v>
      </c>
      <c r="M24" s="30">
        <f>+$D$26/$D$10*100</f>
        <v>2.1304719986035385</v>
      </c>
      <c r="P24" s="9">
        <f t="shared" si="4"/>
        <v>0</v>
      </c>
    </row>
    <row r="25" spans="1:16" ht="16.5" customHeight="1" x14ac:dyDescent="0.2">
      <c r="A25" s="105" t="s">
        <v>124</v>
      </c>
      <c r="B25" s="7" t="s">
        <v>48</v>
      </c>
      <c r="C25" s="96"/>
      <c r="D25" s="198">
        <v>10888147923</v>
      </c>
      <c r="E25" s="198">
        <v>11030166437.290001</v>
      </c>
      <c r="F25" s="31">
        <f>+D25-E25</f>
        <v>-142018514.29000092</v>
      </c>
      <c r="G25" s="58">
        <f>+F25/E25</f>
        <v>-1.2875464309393812E-2</v>
      </c>
      <c r="H25" s="86">
        <v>15345357499</v>
      </c>
      <c r="I25" s="9">
        <v>13860099567</v>
      </c>
      <c r="J25" s="17">
        <v>11650399210</v>
      </c>
      <c r="K25" s="9">
        <f t="shared" si="2"/>
        <v>-40855856276</v>
      </c>
      <c r="L25" s="9">
        <f t="shared" si="3"/>
        <v>0</v>
      </c>
      <c r="P25" s="9">
        <f t="shared" si="4"/>
        <v>0</v>
      </c>
    </row>
    <row r="26" spans="1:16" ht="16.5" customHeight="1" x14ac:dyDescent="0.2">
      <c r="A26" s="105" t="s">
        <v>125</v>
      </c>
      <c r="B26" s="7" t="s">
        <v>49</v>
      </c>
      <c r="C26" s="96"/>
      <c r="D26" s="198">
        <v>1388542874</v>
      </c>
      <c r="E26" s="198">
        <v>1557728534.79</v>
      </c>
      <c r="F26" s="31">
        <f>+D26-E26</f>
        <v>-169185660.78999996</v>
      </c>
      <c r="G26" s="58">
        <f>+F26/E26</f>
        <v>-0.10861049085989054</v>
      </c>
      <c r="H26" s="17"/>
      <c r="I26" s="9"/>
      <c r="J26" s="17"/>
      <c r="K26" s="9">
        <f t="shared" si="2"/>
        <v>10485461</v>
      </c>
      <c r="L26" s="9"/>
      <c r="M26" s="30">
        <f>+$D$28/$D$10*100</f>
        <v>1.608807439168022E-2</v>
      </c>
      <c r="P26" s="9">
        <f t="shared" si="4"/>
        <v>-10485461</v>
      </c>
    </row>
    <row r="27" spans="1:16" ht="13.5" customHeight="1" x14ac:dyDescent="0.2">
      <c r="A27" s="105"/>
      <c r="B27" s="158"/>
      <c r="C27" s="67"/>
      <c r="D27" s="198"/>
      <c r="E27" s="198"/>
      <c r="F27" s="31"/>
      <c r="G27" s="58"/>
      <c r="H27" s="86"/>
      <c r="I27" s="9"/>
      <c r="J27" s="17"/>
      <c r="K27" s="9"/>
      <c r="L27" s="9"/>
      <c r="P27" s="9"/>
    </row>
    <row r="28" spans="1:16" ht="18" customHeight="1" x14ac:dyDescent="0.2">
      <c r="A28" s="102">
        <v>42</v>
      </c>
      <c r="B28" s="4" t="s">
        <v>127</v>
      </c>
      <c r="C28" s="147"/>
      <c r="D28" s="52">
        <f>SUM(D29:D30)</f>
        <v>10485461</v>
      </c>
      <c r="E28" s="52">
        <f>SUM(E29:E30)</f>
        <v>6636753.2300000004</v>
      </c>
      <c r="F28" s="52">
        <f>SUM(F29:F30)</f>
        <v>3848707.7699999996</v>
      </c>
      <c r="G28" s="99">
        <f t="shared" ref="G28" si="7">+F28/E28</f>
        <v>0.57990822268375941</v>
      </c>
      <c r="H28" s="18"/>
      <c r="I28" s="9"/>
      <c r="J28" s="17"/>
      <c r="K28" s="9">
        <f>+D29-H28-I28-J28</f>
        <v>12559661</v>
      </c>
      <c r="L28" s="9"/>
      <c r="P28" s="9">
        <f>+L28-D29</f>
        <v>-12559661</v>
      </c>
    </row>
    <row r="29" spans="1:16" ht="22.5" customHeight="1" x14ac:dyDescent="0.2">
      <c r="A29" s="105" t="s">
        <v>128</v>
      </c>
      <c r="B29" s="59" t="s">
        <v>46</v>
      </c>
      <c r="C29" s="67"/>
      <c r="D29" s="198">
        <v>12559661</v>
      </c>
      <c r="E29" s="198">
        <v>9379403.2300000004</v>
      </c>
      <c r="F29" s="31">
        <f>+D29-E29</f>
        <v>3180257.7699999996</v>
      </c>
      <c r="G29" s="58">
        <f t="shared" ref="G29:G30" si="8">+F29/E29</f>
        <v>0.33906824261781943</v>
      </c>
      <c r="H29" s="18"/>
      <c r="I29" s="9"/>
      <c r="J29" s="17"/>
      <c r="K29" s="9"/>
      <c r="L29" s="9"/>
      <c r="P29" s="9"/>
    </row>
    <row r="30" spans="1:16" ht="24.75" customHeight="1" x14ac:dyDescent="0.2">
      <c r="A30" s="105">
        <v>4295</v>
      </c>
      <c r="B30" s="158" t="s">
        <v>170</v>
      </c>
      <c r="C30" s="178"/>
      <c r="D30" s="198">
        <v>-2074200</v>
      </c>
      <c r="E30" s="198">
        <v>-2742650</v>
      </c>
      <c r="F30" s="31">
        <f>+D30-E30</f>
        <v>668450</v>
      </c>
      <c r="G30" s="58">
        <f t="shared" si="8"/>
        <v>-0.24372413541647678</v>
      </c>
      <c r="H30" s="17"/>
      <c r="I30" s="9"/>
      <c r="J30" s="17"/>
      <c r="K30" s="9" t="e">
        <f>+#REF!-H30-I30-J30</f>
        <v>#REF!</v>
      </c>
      <c r="L30" s="9"/>
      <c r="P30" s="9" t="e">
        <f>+L30-#REF!</f>
        <v>#REF!</v>
      </c>
    </row>
    <row r="31" spans="1:16" x14ac:dyDescent="0.2">
      <c r="A31" s="105"/>
      <c r="B31" s="59"/>
      <c r="C31" s="67"/>
      <c r="D31" s="57"/>
      <c r="E31" s="57"/>
      <c r="F31" s="31"/>
      <c r="G31" s="58"/>
      <c r="H31" s="86">
        <v>10464180802.92</v>
      </c>
      <c r="I31" s="9">
        <v>15731513952.08</v>
      </c>
      <c r="J31" s="17">
        <v>11844660121.180002</v>
      </c>
      <c r="K31" s="9">
        <f>+D32-H31-I31-J31</f>
        <v>-5549965631.7600021</v>
      </c>
      <c r="L31" s="9">
        <f t="shared" si="3"/>
        <v>32490389244.419998</v>
      </c>
      <c r="M31" s="32">
        <f>+$D$32/$D$32*100</f>
        <v>100</v>
      </c>
      <c r="N31" s="64">
        <f>+$D$32+$D$39+$D$64</f>
        <v>37530039105.25</v>
      </c>
      <c r="P31" s="9">
        <f>+L31-D32</f>
        <v>0</v>
      </c>
    </row>
    <row r="32" spans="1:16" ht="20.25" customHeight="1" x14ac:dyDescent="0.25">
      <c r="A32" s="177">
        <v>6</v>
      </c>
      <c r="B32" s="190" t="s">
        <v>51</v>
      </c>
      <c r="C32" s="147"/>
      <c r="D32" s="132">
        <f>+D34+D37</f>
        <v>32490389244.419998</v>
      </c>
      <c r="E32" s="132">
        <f t="shared" ref="E32:F32" si="9">+E34+E37</f>
        <v>30372966407.5</v>
      </c>
      <c r="F32" s="132">
        <f t="shared" si="9"/>
        <v>2117422836.9199989</v>
      </c>
      <c r="G32" s="133">
        <f>+F32/E32</f>
        <v>6.9714061132900851E-2</v>
      </c>
      <c r="H32" s="86">
        <v>642755620</v>
      </c>
      <c r="I32" s="9">
        <v>783667031</v>
      </c>
      <c r="J32" s="17">
        <v>789034192.30000019</v>
      </c>
      <c r="K32" s="9">
        <f>+D34-H32-I32-J32</f>
        <v>-2211547331.3000002</v>
      </c>
      <c r="L32" s="9">
        <f t="shared" si="3"/>
        <v>3909512</v>
      </c>
      <c r="M32" s="30">
        <f>+$D$34/$D$32*100</f>
        <v>1.2032825986138137E-2</v>
      </c>
      <c r="N32" s="30">
        <f>+$D$32/$N$31*100</f>
        <v>86.571690355299907</v>
      </c>
      <c r="P32" s="9">
        <f>+L32-D34</f>
        <v>0</v>
      </c>
    </row>
    <row r="33" spans="1:24" ht="8.25" customHeight="1" x14ac:dyDescent="0.25">
      <c r="A33" s="102"/>
      <c r="B33" s="55"/>
      <c r="C33" s="176"/>
      <c r="D33" s="52"/>
      <c r="E33" s="52"/>
      <c r="F33" s="52"/>
      <c r="G33" s="99"/>
      <c r="H33" s="86">
        <v>552422371.75999999</v>
      </c>
      <c r="I33" s="9">
        <v>1197919031.24</v>
      </c>
      <c r="J33" s="17">
        <v>807719924.30999994</v>
      </c>
      <c r="K33" s="9">
        <f>+D35-H33-I33-J33</f>
        <v>-2554151815.3099999</v>
      </c>
      <c r="L33" s="9">
        <f t="shared" si="3"/>
        <v>3909512</v>
      </c>
      <c r="M33" s="30">
        <f>+$D$35/$D$32*100</f>
        <v>1.2032825986138137E-2</v>
      </c>
      <c r="N33" s="30"/>
      <c r="P33" s="9">
        <f>+L33-D35</f>
        <v>0</v>
      </c>
    </row>
    <row r="34" spans="1:24" ht="18" customHeight="1" x14ac:dyDescent="0.2">
      <c r="A34" s="102">
        <v>62</v>
      </c>
      <c r="B34" s="4" t="s">
        <v>52</v>
      </c>
      <c r="C34" s="178"/>
      <c r="D34" s="52">
        <f>SUM(D35:D35)</f>
        <v>3909512</v>
      </c>
      <c r="E34" s="52">
        <f>SUM(E35:E35)</f>
        <v>3575231.2</v>
      </c>
      <c r="F34" s="52">
        <f>SUM(F35:F35)</f>
        <v>334280.79999999981</v>
      </c>
      <c r="G34" s="99">
        <f>+F34/E34</f>
        <v>9.3499072171891934E-2</v>
      </c>
      <c r="H34" s="86">
        <v>6783518446.6300001</v>
      </c>
      <c r="I34" s="9">
        <v>10091715879.369999</v>
      </c>
      <c r="J34" s="17">
        <v>7013295588.6100006</v>
      </c>
      <c r="K34" s="9">
        <f>+D36-H34-I34-J34</f>
        <v>-23888529914.610001</v>
      </c>
      <c r="L34" s="9">
        <f t="shared" si="3"/>
        <v>0</v>
      </c>
      <c r="M34" s="30">
        <f>+$D$36/$D$32*100</f>
        <v>0</v>
      </c>
      <c r="N34" s="30"/>
      <c r="P34" s="9">
        <f>+L34-D36</f>
        <v>0</v>
      </c>
    </row>
    <row r="35" spans="1:24" ht="18" customHeight="1" x14ac:dyDescent="0.2">
      <c r="A35" s="105">
        <v>6210</v>
      </c>
      <c r="B35" s="59" t="s">
        <v>46</v>
      </c>
      <c r="C35" s="96"/>
      <c r="D35" s="198">
        <v>3909512</v>
      </c>
      <c r="E35" s="198">
        <v>3575231.2</v>
      </c>
      <c r="F35" s="31">
        <f>+D35-E35</f>
        <v>334280.79999999981</v>
      </c>
      <c r="G35" s="58">
        <f>+F35/E35</f>
        <v>9.3499072171891934E-2</v>
      </c>
      <c r="H35" s="86">
        <v>1021178656.34</v>
      </c>
      <c r="I35" s="9">
        <v>1325904338.6599998</v>
      </c>
      <c r="J35" s="17">
        <v>1014725204.25</v>
      </c>
      <c r="K35" s="9">
        <f>+D37-H35-I35-J35</f>
        <v>29124671533.169998</v>
      </c>
      <c r="L35" s="9">
        <f t="shared" si="3"/>
        <v>32486479732.419998</v>
      </c>
      <c r="M35" s="30">
        <f>+$D$37/$D$32*100</f>
        <v>99.98796717401386</v>
      </c>
      <c r="N35" s="30"/>
      <c r="P35" s="9">
        <f>+L35-D37</f>
        <v>0</v>
      </c>
    </row>
    <row r="36" spans="1:24" ht="2.25" customHeight="1" x14ac:dyDescent="0.2">
      <c r="A36" s="105"/>
      <c r="B36" s="63"/>
      <c r="C36" s="68"/>
      <c r="D36" s="18"/>
      <c r="E36" s="31"/>
      <c r="F36" s="31"/>
      <c r="G36" s="58"/>
      <c r="H36" s="86">
        <v>767793728.62</v>
      </c>
      <c r="I36" s="9">
        <v>1210684351.3800001</v>
      </c>
      <c r="J36" s="17">
        <v>1150415184.9299998</v>
      </c>
      <c r="K36" s="9" t="e">
        <f>+#REF!-H36-I36-J36</f>
        <v>#REF!</v>
      </c>
      <c r="L36" s="9" t="e">
        <f t="shared" si="3"/>
        <v>#REF!</v>
      </c>
      <c r="M36" s="30" t="e">
        <f>+#REF!/$D$32*100</f>
        <v>#REF!</v>
      </c>
      <c r="N36" s="30"/>
      <c r="P36" s="9" t="e">
        <f>+L36-#REF!</f>
        <v>#REF!</v>
      </c>
    </row>
    <row r="37" spans="1:24" ht="16.5" customHeight="1" x14ac:dyDescent="0.2">
      <c r="A37" s="102">
        <v>63</v>
      </c>
      <c r="B37" s="56" t="s">
        <v>129</v>
      </c>
      <c r="C37" s="178"/>
      <c r="D37" s="53">
        <f>SUM(D38:D39)</f>
        <v>32486479732.419998</v>
      </c>
      <c r="E37" s="53">
        <f>SUM(E38:E39)</f>
        <v>30369391176.299999</v>
      </c>
      <c r="F37" s="53">
        <f>SUM(F38:F39)</f>
        <v>2117088556.1199989</v>
      </c>
      <c r="G37" s="99">
        <f>+F37/E37</f>
        <v>6.9711261046686901E-2</v>
      </c>
      <c r="H37" s="86">
        <v>566300307.63999999</v>
      </c>
      <c r="I37" s="9">
        <v>924675414.36000001</v>
      </c>
      <c r="J37" s="17">
        <v>869444936.21000016</v>
      </c>
      <c r="K37" s="9" t="e">
        <f>+#REF!-H37-I37-J37</f>
        <v>#REF!</v>
      </c>
      <c r="L37" s="9" t="e">
        <f t="shared" si="3"/>
        <v>#REF!</v>
      </c>
      <c r="M37" s="30" t="e">
        <f>+#REF!/$D$32*100</f>
        <v>#REF!</v>
      </c>
      <c r="N37" s="30"/>
      <c r="P37" s="9" t="e">
        <f>+L37-#REF!</f>
        <v>#REF!</v>
      </c>
    </row>
    <row r="38" spans="1:24" ht="18" customHeight="1" x14ac:dyDescent="0.2">
      <c r="A38" s="105">
        <v>6305</v>
      </c>
      <c r="B38" s="7" t="s">
        <v>48</v>
      </c>
      <c r="C38" s="69"/>
      <c r="D38" s="198">
        <v>32486479732.419998</v>
      </c>
      <c r="E38" s="198">
        <v>30369391176.299999</v>
      </c>
      <c r="F38" s="31">
        <f>+D38-E38</f>
        <v>2117088556.1199989</v>
      </c>
      <c r="G38" s="58">
        <f>+F38/E38</f>
        <v>6.9711261046686901E-2</v>
      </c>
      <c r="H38" s="17"/>
      <c r="I38" s="9"/>
      <c r="J38" s="17"/>
      <c r="K38" s="9">
        <f t="shared" si="0"/>
        <v>32486479732.419998</v>
      </c>
      <c r="L38" s="9"/>
      <c r="N38" s="30"/>
      <c r="P38" s="9">
        <f t="shared" si="1"/>
        <v>-32486479732.419998</v>
      </c>
    </row>
    <row r="39" spans="1:24" ht="2.25" hidden="1" customHeight="1" x14ac:dyDescent="0.2">
      <c r="A39" s="105"/>
      <c r="B39" s="7"/>
      <c r="C39" s="67"/>
      <c r="D39" s="57"/>
      <c r="E39" s="57"/>
      <c r="F39" s="31"/>
      <c r="G39" s="58"/>
      <c r="H39" s="86">
        <v>3932411064.6500001</v>
      </c>
      <c r="I39" s="9">
        <v>6353337173.3500004</v>
      </c>
      <c r="J39" s="17">
        <v>6643372948.0799999</v>
      </c>
      <c r="K39" s="9">
        <f t="shared" si="0"/>
        <v>-16929121186.08</v>
      </c>
      <c r="L39" s="9">
        <f t="shared" si="3"/>
        <v>0</v>
      </c>
      <c r="N39" s="30">
        <f>+$D$39/$N$31*100</f>
        <v>0</v>
      </c>
      <c r="P39" s="9">
        <f t="shared" si="1"/>
        <v>0</v>
      </c>
    </row>
    <row r="40" spans="1:24" ht="21.75" customHeight="1" x14ac:dyDescent="0.25">
      <c r="A40" s="177">
        <v>5</v>
      </c>
      <c r="B40" s="190" t="s">
        <v>53</v>
      </c>
      <c r="C40" s="147"/>
      <c r="D40" s="132">
        <f>+D42+D52</f>
        <v>15113441777.48</v>
      </c>
      <c r="E40" s="132">
        <f>+E42+E52</f>
        <v>15478796077.49</v>
      </c>
      <c r="F40" s="132">
        <f>+F42+F52</f>
        <v>-365354300.01000047</v>
      </c>
      <c r="G40" s="133">
        <f>+F40/E40</f>
        <v>-2.3603534679374455E-2</v>
      </c>
      <c r="H40" s="17"/>
      <c r="I40" s="9"/>
      <c r="J40" s="17"/>
      <c r="K40" s="9" t="e">
        <f>+#REF!-H40-I40-J40</f>
        <v>#REF!</v>
      </c>
      <c r="L40" s="9"/>
      <c r="P40" s="9" t="e">
        <f>+L40-#REF!</f>
        <v>#REF!</v>
      </c>
    </row>
    <row r="41" spans="1:24" ht="0.75" customHeight="1" x14ac:dyDescent="0.25">
      <c r="A41" s="97"/>
      <c r="B41" s="51"/>
      <c r="C41" s="35"/>
      <c r="D41" s="13"/>
      <c r="E41" s="52"/>
      <c r="F41" s="31"/>
      <c r="G41" s="58"/>
      <c r="H41" s="86">
        <v>3838835701.6399999</v>
      </c>
      <c r="I41" s="9">
        <v>5932212511.3600006</v>
      </c>
      <c r="J41" s="17">
        <v>6538796787.4899998</v>
      </c>
      <c r="K41" s="9" t="e">
        <f>+#REF!-H41-I41-J41</f>
        <v>#REF!</v>
      </c>
      <c r="L41" s="9" t="e">
        <f t="shared" si="3"/>
        <v>#REF!</v>
      </c>
      <c r="M41" s="32" t="e">
        <f>+#REF!/#REF!*100</f>
        <v>#REF!</v>
      </c>
      <c r="P41" s="9" t="e">
        <f>+L41-#REF!</f>
        <v>#REF!</v>
      </c>
    </row>
    <row r="42" spans="1:24" ht="20.25" customHeight="1" x14ac:dyDescent="0.2">
      <c r="A42" s="102">
        <v>51</v>
      </c>
      <c r="B42" s="56" t="s">
        <v>54</v>
      </c>
      <c r="C42" s="147"/>
      <c r="D42" s="52">
        <f>SUM(D43:D50)</f>
        <v>14510719271.5</v>
      </c>
      <c r="E42" s="52">
        <f>SUM(E43:E50)</f>
        <v>14958062492.389999</v>
      </c>
      <c r="F42" s="52">
        <f>SUM(F43:F50)</f>
        <v>-447343220.89000046</v>
      </c>
      <c r="G42" s="99">
        <f>+F42/E42</f>
        <v>-2.9906494983397008E-2</v>
      </c>
      <c r="H42" s="86">
        <v>1621519242.53</v>
      </c>
      <c r="I42" s="9">
        <v>2245454619.4700003</v>
      </c>
      <c r="J42" s="17">
        <v>2320179046.9200001</v>
      </c>
      <c r="K42" s="9" t="e">
        <f>+#REF!-H42-I42-J42</f>
        <v>#REF!</v>
      </c>
      <c r="L42" s="9" t="e">
        <f t="shared" si="3"/>
        <v>#REF!</v>
      </c>
      <c r="M42" s="30" t="e">
        <f>+#REF!/#REF!*100</f>
        <v>#REF!</v>
      </c>
      <c r="P42" s="9" t="e">
        <f>+L42-#REF!</f>
        <v>#REF!</v>
      </c>
    </row>
    <row r="43" spans="1:24" ht="15.95" customHeight="1" x14ac:dyDescent="0.2">
      <c r="A43" s="105" t="s">
        <v>130</v>
      </c>
      <c r="B43" s="7" t="s">
        <v>131</v>
      </c>
      <c r="C43" s="96"/>
      <c r="D43" s="198">
        <v>4341805181.29</v>
      </c>
      <c r="E43" s="198">
        <v>4157195074.0100002</v>
      </c>
      <c r="F43" s="31">
        <f t="shared" ref="F43:F50" si="10">+D43-E43</f>
        <v>184610107.27999973</v>
      </c>
      <c r="G43" s="58">
        <f t="shared" ref="G43:G50" si="11">+F43/E43</f>
        <v>4.4407371795985064E-2</v>
      </c>
      <c r="H43" s="86">
        <v>6920376</v>
      </c>
      <c r="I43" s="9">
        <v>30724349</v>
      </c>
      <c r="J43" s="17">
        <v>63890050</v>
      </c>
      <c r="K43" s="9" t="e">
        <f>+#REF!-H43-I43-J43</f>
        <v>#REF!</v>
      </c>
      <c r="L43" s="9" t="e">
        <f t="shared" si="3"/>
        <v>#REF!</v>
      </c>
      <c r="M43" s="30" t="e">
        <f>+#REF!/#REF!*100</f>
        <v>#REF!</v>
      </c>
      <c r="P43" s="9" t="e">
        <f>+L43-#REF!</f>
        <v>#REF!</v>
      </c>
      <c r="U43" s="9"/>
      <c r="V43" s="9"/>
      <c r="W43" s="9"/>
      <c r="X43" s="160"/>
    </row>
    <row r="44" spans="1:24" ht="15.95" customHeight="1" x14ac:dyDescent="0.2">
      <c r="A44" s="105" t="s">
        <v>132</v>
      </c>
      <c r="B44" s="7" t="s">
        <v>55</v>
      </c>
      <c r="C44" s="96"/>
      <c r="D44" s="198">
        <v>77586258.129999995</v>
      </c>
      <c r="E44" s="198">
        <v>65182662.990000002</v>
      </c>
      <c r="F44" s="31">
        <f t="shared" si="10"/>
        <v>12403595.139999993</v>
      </c>
      <c r="G44" s="58">
        <f t="shared" si="11"/>
        <v>0.19028978828163082</v>
      </c>
      <c r="H44" s="86">
        <v>352960356</v>
      </c>
      <c r="I44" s="9">
        <v>384494656</v>
      </c>
      <c r="J44" s="17">
        <v>383013740</v>
      </c>
      <c r="K44" s="9">
        <f t="shared" ref="K44:K47" si="12">+D40-H44-I44-J44</f>
        <v>13992973025.48</v>
      </c>
      <c r="L44" s="9">
        <f t="shared" si="3"/>
        <v>15113441777.48</v>
      </c>
      <c r="M44" s="30" t="e">
        <f>+$D$40/#REF!*100</f>
        <v>#REF!</v>
      </c>
      <c r="P44" s="9">
        <f t="shared" ref="P44:P47" si="13">+L44-D40</f>
        <v>0</v>
      </c>
    </row>
    <row r="45" spans="1:24" ht="15.95" customHeight="1" x14ac:dyDescent="0.2">
      <c r="A45" s="105" t="s">
        <v>133</v>
      </c>
      <c r="B45" s="7" t="s">
        <v>134</v>
      </c>
      <c r="C45" s="96"/>
      <c r="D45" s="198">
        <v>1157276893</v>
      </c>
      <c r="E45" s="198">
        <v>1134993759</v>
      </c>
      <c r="F45" s="31">
        <f t="shared" si="10"/>
        <v>22283134</v>
      </c>
      <c r="G45" s="58">
        <f t="shared" si="11"/>
        <v>1.9632825135208518E-2</v>
      </c>
      <c r="H45" s="86">
        <v>39254600</v>
      </c>
      <c r="I45" s="9">
        <v>60021800</v>
      </c>
      <c r="J45" s="17">
        <v>51807000</v>
      </c>
      <c r="K45" s="9">
        <f t="shared" si="12"/>
        <v>-151083400</v>
      </c>
      <c r="L45" s="9">
        <f t="shared" si="3"/>
        <v>0</v>
      </c>
      <c r="M45" s="30" t="e">
        <f>+$D$41/#REF!*100</f>
        <v>#REF!</v>
      </c>
      <c r="P45" s="9">
        <f t="shared" si="13"/>
        <v>0</v>
      </c>
    </row>
    <row r="46" spans="1:24" ht="15.95" customHeight="1" x14ac:dyDescent="0.2">
      <c r="A46" s="105" t="s">
        <v>135</v>
      </c>
      <c r="B46" s="7" t="s">
        <v>136</v>
      </c>
      <c r="C46" s="96"/>
      <c r="D46" s="198">
        <v>135318886</v>
      </c>
      <c r="E46" s="198">
        <v>127200381</v>
      </c>
      <c r="F46" s="31">
        <f t="shared" si="10"/>
        <v>8118505</v>
      </c>
      <c r="G46" s="58">
        <f t="shared" si="11"/>
        <v>6.3824533670225406E-2</v>
      </c>
      <c r="H46" s="86">
        <v>1243762868.1099999</v>
      </c>
      <c r="I46" s="9">
        <v>2421688351.8900003</v>
      </c>
      <c r="J46" s="17">
        <v>3484033513.9099998</v>
      </c>
      <c r="K46" s="9">
        <f t="shared" si="12"/>
        <v>7361234537.5900002</v>
      </c>
      <c r="L46" s="9">
        <f t="shared" si="3"/>
        <v>14510719271.5</v>
      </c>
      <c r="M46" s="30" t="e">
        <f>+$D$42/#REF!*100</f>
        <v>#REF!</v>
      </c>
      <c r="P46" s="9">
        <f t="shared" si="13"/>
        <v>0</v>
      </c>
    </row>
    <row r="47" spans="1:24" ht="15" customHeight="1" x14ac:dyDescent="0.2">
      <c r="A47" s="105" t="s">
        <v>137</v>
      </c>
      <c r="B47" s="7" t="s">
        <v>138</v>
      </c>
      <c r="C47" s="96"/>
      <c r="D47" s="198">
        <v>2300010512.9400001</v>
      </c>
      <c r="E47" s="198">
        <v>2199798306.2199998</v>
      </c>
      <c r="F47" s="31">
        <f t="shared" si="10"/>
        <v>100212206.72000027</v>
      </c>
      <c r="G47" s="58">
        <f t="shared" si="11"/>
        <v>4.5555179507433506E-2</v>
      </c>
      <c r="H47" s="86">
        <v>574418259</v>
      </c>
      <c r="I47" s="9">
        <v>789828735</v>
      </c>
      <c r="J47" s="17">
        <v>235873436.66000009</v>
      </c>
      <c r="K47" s="9">
        <f t="shared" si="12"/>
        <v>2741684750.6300001</v>
      </c>
      <c r="L47" s="9">
        <f t="shared" si="3"/>
        <v>4341805181.29</v>
      </c>
      <c r="M47" s="30" t="e">
        <f>+$D$43/#REF!*100</f>
        <v>#REF!</v>
      </c>
      <c r="P47" s="9">
        <f t="shared" si="13"/>
        <v>0</v>
      </c>
    </row>
    <row r="48" spans="1:24" x14ac:dyDescent="0.2">
      <c r="A48" s="105">
        <v>5108</v>
      </c>
      <c r="B48" s="7" t="s">
        <v>157</v>
      </c>
      <c r="C48" s="96"/>
      <c r="D48" s="198">
        <v>7425000</v>
      </c>
      <c r="E48" s="198">
        <v>6210000</v>
      </c>
      <c r="F48" s="31">
        <f t="shared" si="10"/>
        <v>1215000</v>
      </c>
      <c r="G48" s="58">
        <f t="shared" si="11"/>
        <v>0.19565217391304349</v>
      </c>
      <c r="H48" s="86"/>
      <c r="I48" s="9"/>
      <c r="J48" s="17"/>
      <c r="K48" s="9"/>
      <c r="L48" s="9"/>
      <c r="M48" s="30"/>
      <c r="P48" s="9"/>
    </row>
    <row r="49" spans="1:16" ht="15.95" customHeight="1" x14ac:dyDescent="0.2">
      <c r="A49" s="105" t="s">
        <v>139</v>
      </c>
      <c r="B49" s="7" t="s">
        <v>56</v>
      </c>
      <c r="C49" s="96"/>
      <c r="D49" s="198">
        <v>5166832967.8999996</v>
      </c>
      <c r="E49" s="198">
        <v>5672026395.9200001</v>
      </c>
      <c r="F49" s="31">
        <f t="shared" si="10"/>
        <v>-505193428.02000046</v>
      </c>
      <c r="G49" s="58">
        <f t="shared" si="11"/>
        <v>-8.9067538258178064E-2</v>
      </c>
      <c r="H49" s="86">
        <v>93575363.010000005</v>
      </c>
      <c r="I49" s="9">
        <v>421124661.99000001</v>
      </c>
      <c r="J49" s="17">
        <v>104576160.58999991</v>
      </c>
      <c r="K49" s="9">
        <f>+D45-H49-I49-J49</f>
        <v>538000707.41000009</v>
      </c>
      <c r="L49" s="9">
        <f t="shared" si="3"/>
        <v>1157276893</v>
      </c>
      <c r="P49" s="9">
        <f>+L49-D45</f>
        <v>0</v>
      </c>
    </row>
    <row r="50" spans="1:16" ht="15.95" customHeight="1" x14ac:dyDescent="0.2">
      <c r="A50" s="105" t="s">
        <v>140</v>
      </c>
      <c r="B50" s="158" t="s">
        <v>57</v>
      </c>
      <c r="C50" s="96"/>
      <c r="D50" s="198">
        <v>1324463572.24</v>
      </c>
      <c r="E50" s="198">
        <v>1595455913.25</v>
      </c>
      <c r="F50" s="31">
        <f t="shared" si="10"/>
        <v>-270992341.00999999</v>
      </c>
      <c r="G50" s="58">
        <f t="shared" si="11"/>
        <v>-0.1698526037350534</v>
      </c>
      <c r="H50" s="17"/>
      <c r="I50" s="9"/>
      <c r="J50" s="17"/>
      <c r="K50" s="9">
        <f>+D46-H50-I50-J50</f>
        <v>135318886</v>
      </c>
      <c r="L50" s="9"/>
      <c r="P50" s="9">
        <f>+L50-D46</f>
        <v>-135318886</v>
      </c>
    </row>
    <row r="51" spans="1:16" ht="4.5" customHeight="1" x14ac:dyDescent="0.2">
      <c r="A51" s="105"/>
      <c r="B51" s="59"/>
      <c r="C51" s="67"/>
      <c r="D51" s="54"/>
      <c r="E51" s="54"/>
      <c r="F51" s="31"/>
      <c r="G51" s="58"/>
      <c r="H51" s="86">
        <v>0</v>
      </c>
      <c r="I51" s="9">
        <v>325346007</v>
      </c>
      <c r="J51" s="17">
        <v>8086827</v>
      </c>
      <c r="K51" s="9">
        <f>+D47-H51-I51-J51</f>
        <v>1966577678.9400001</v>
      </c>
      <c r="L51" s="9">
        <f t="shared" si="3"/>
        <v>2300010512.9400001</v>
      </c>
      <c r="P51" s="9">
        <f>+L51-D47</f>
        <v>0</v>
      </c>
    </row>
    <row r="52" spans="1:16" ht="32.25" customHeight="1" x14ac:dyDescent="0.2">
      <c r="A52" s="106">
        <v>53</v>
      </c>
      <c r="B52" s="159" t="s">
        <v>141</v>
      </c>
      <c r="C52" s="147"/>
      <c r="D52" s="53">
        <f>SUM(D53:D57)</f>
        <v>602722505.98000002</v>
      </c>
      <c r="E52" s="53">
        <f>SUM(E53:E57)</f>
        <v>520733585.10000002</v>
      </c>
      <c r="F52" s="53">
        <f>SUM(F53:F57)</f>
        <v>81988920.879999995</v>
      </c>
      <c r="G52" s="99">
        <f>+F52/E52</f>
        <v>0.1574488821654457</v>
      </c>
      <c r="H52" s="86">
        <v>93575363.010000005</v>
      </c>
      <c r="I52" s="9">
        <v>95778654.989999995</v>
      </c>
      <c r="J52" s="17">
        <v>96489333.589999989</v>
      </c>
      <c r="K52" s="9" t="e">
        <f>+#REF!-H52-I52-J52</f>
        <v>#REF!</v>
      </c>
      <c r="L52" s="9" t="e">
        <f t="shared" si="3"/>
        <v>#REF!</v>
      </c>
      <c r="P52" s="9" t="e">
        <f>+L52-#REF!</f>
        <v>#REF!</v>
      </c>
    </row>
    <row r="53" spans="1:16" x14ac:dyDescent="0.2">
      <c r="A53" s="105">
        <v>5347</v>
      </c>
      <c r="B53" s="158" t="s">
        <v>165</v>
      </c>
      <c r="C53" s="96"/>
      <c r="D53" s="198">
        <v>258656</v>
      </c>
      <c r="E53" s="198">
        <v>2684663</v>
      </c>
      <c r="F53" s="31">
        <f t="shared" ref="F53:F57" si="14">+D53-E53</f>
        <v>-2426007</v>
      </c>
      <c r="G53" s="58">
        <f t="shared" ref="G53" si="15">+F53/E53</f>
        <v>-0.90365420166330002</v>
      </c>
      <c r="H53" s="18"/>
      <c r="I53" s="9"/>
      <c r="J53" s="17"/>
      <c r="K53" s="9"/>
      <c r="L53" s="9"/>
      <c r="P53" s="9"/>
    </row>
    <row r="54" spans="1:16" hidden="1" x14ac:dyDescent="0.2">
      <c r="A54" s="105">
        <v>5350</v>
      </c>
      <c r="B54" s="59" t="s">
        <v>159</v>
      </c>
      <c r="C54" s="67"/>
      <c r="D54" s="198">
        <v>0</v>
      </c>
      <c r="E54" s="57">
        <v>0</v>
      </c>
      <c r="F54" s="31">
        <f t="shared" si="14"/>
        <v>0</v>
      </c>
      <c r="G54" s="58" t="e">
        <f t="shared" ref="G54:G57" si="16">+F54/E54</f>
        <v>#DIV/0!</v>
      </c>
      <c r="H54" s="18"/>
      <c r="I54" s="9"/>
      <c r="J54" s="17"/>
      <c r="K54" s="9"/>
      <c r="L54" s="9"/>
      <c r="P54" s="9"/>
    </row>
    <row r="55" spans="1:16" ht="26.25" customHeight="1" x14ac:dyDescent="0.2">
      <c r="A55" s="105" t="s">
        <v>142</v>
      </c>
      <c r="B55" s="158" t="s">
        <v>143</v>
      </c>
      <c r="C55" s="67"/>
      <c r="D55" s="198">
        <v>518052830.18000001</v>
      </c>
      <c r="E55" s="198">
        <v>432122277.30000001</v>
      </c>
      <c r="F55" s="31">
        <f t="shared" si="14"/>
        <v>85930552.879999995</v>
      </c>
      <c r="G55" s="58">
        <f t="shared" si="16"/>
        <v>0.19885703050746187</v>
      </c>
      <c r="H55" s="17"/>
      <c r="I55" s="9"/>
      <c r="J55" s="17"/>
      <c r="K55" s="9">
        <f>+D51-H55-I55-J55</f>
        <v>0</v>
      </c>
      <c r="L55" s="9"/>
      <c r="P55" s="9">
        <f>+L55-D51</f>
        <v>0</v>
      </c>
    </row>
    <row r="56" spans="1:16" ht="15.95" customHeight="1" x14ac:dyDescent="0.2">
      <c r="A56" s="105" t="s">
        <v>144</v>
      </c>
      <c r="B56" s="7" t="s">
        <v>145</v>
      </c>
      <c r="C56" s="67"/>
      <c r="D56" s="198">
        <v>84411019.799999997</v>
      </c>
      <c r="E56" s="198">
        <v>85077184.799999997</v>
      </c>
      <c r="F56" s="31">
        <f t="shared" si="14"/>
        <v>-666165</v>
      </c>
      <c r="G56" s="58">
        <f t="shared" si="16"/>
        <v>-7.8301250983565697E-3</v>
      </c>
      <c r="H56" s="17"/>
      <c r="I56" s="9"/>
      <c r="J56" s="17"/>
      <c r="K56" s="9"/>
      <c r="L56" s="9"/>
      <c r="P56" s="9"/>
    </row>
    <row r="57" spans="1:16" ht="15" customHeight="1" x14ac:dyDescent="0.2">
      <c r="A57" s="105">
        <v>5368</v>
      </c>
      <c r="B57" s="7" t="s">
        <v>160</v>
      </c>
      <c r="C57" s="67"/>
      <c r="D57" s="198">
        <v>0</v>
      </c>
      <c r="E57" s="198">
        <v>849460</v>
      </c>
      <c r="F57" s="31">
        <f t="shared" si="14"/>
        <v>-849460</v>
      </c>
      <c r="G57" s="58">
        <f t="shared" si="16"/>
        <v>-1</v>
      </c>
      <c r="H57" s="86">
        <v>46018565.560000002</v>
      </c>
      <c r="I57" s="9">
        <v>45131397.439999998</v>
      </c>
      <c r="J57" s="17">
        <v>61816367.050000012</v>
      </c>
      <c r="K57" s="9">
        <f t="shared" ref="K57:K73" si="17">+D57-H57-I57-J57</f>
        <v>-152966330.05000001</v>
      </c>
      <c r="L57" s="9">
        <f>+H57+I57+J57+K57</f>
        <v>0</v>
      </c>
      <c r="M57" s="30" t="e">
        <f>+D57/#REF!*100</f>
        <v>#REF!</v>
      </c>
      <c r="P57" s="9">
        <f t="shared" ref="P57:P73" si="18">+L57-D57</f>
        <v>0</v>
      </c>
    </row>
    <row r="58" spans="1:16" x14ac:dyDescent="0.2">
      <c r="A58" s="105"/>
      <c r="B58" s="7"/>
      <c r="C58" s="67"/>
      <c r="D58" s="18"/>
      <c r="E58" s="31"/>
      <c r="F58" s="57"/>
      <c r="G58" s="58"/>
      <c r="H58" s="86"/>
      <c r="I58" s="9"/>
      <c r="J58" s="17"/>
      <c r="K58" s="9"/>
      <c r="L58" s="9"/>
      <c r="M58" s="30"/>
      <c r="P58" s="9"/>
    </row>
    <row r="59" spans="1:16" ht="15.75" x14ac:dyDescent="0.25">
      <c r="A59" s="175"/>
      <c r="B59" s="95" t="s">
        <v>152</v>
      </c>
      <c r="C59" s="178"/>
      <c r="D59" s="132">
        <f>+D10-D40-D32</f>
        <v>17571532696.100006</v>
      </c>
      <c r="E59" s="132">
        <f>+E10-E40-E32</f>
        <v>14624254401.32</v>
      </c>
      <c r="F59" s="132">
        <f>+F10-F40-F32</f>
        <v>6125269504.6199989</v>
      </c>
      <c r="G59" s="133">
        <f>+F59/E59</f>
        <v>0.41884319955943367</v>
      </c>
      <c r="H59" s="86">
        <v>0</v>
      </c>
      <c r="I59" s="9">
        <v>8924941</v>
      </c>
      <c r="J59" s="17">
        <v>1977051</v>
      </c>
      <c r="K59" s="9">
        <f t="shared" si="17"/>
        <v>17560630704.100006</v>
      </c>
      <c r="L59" s="9">
        <f>+H59+I59+J59+K59</f>
        <v>17571532696.100006</v>
      </c>
      <c r="M59" s="30" t="e">
        <f>+D59/#REF!*100</f>
        <v>#REF!</v>
      </c>
      <c r="P59" s="9">
        <f t="shared" si="18"/>
        <v>0</v>
      </c>
    </row>
    <row r="60" spans="1:16" ht="3" hidden="1" customHeight="1" x14ac:dyDescent="0.25">
      <c r="A60" s="97"/>
      <c r="B60" s="55"/>
      <c r="C60" s="176"/>
      <c r="D60" s="52"/>
      <c r="E60" s="52"/>
      <c r="F60" s="52"/>
      <c r="G60" s="99"/>
      <c r="H60" s="84"/>
      <c r="I60" s="9"/>
      <c r="J60" s="17"/>
      <c r="K60" s="9"/>
      <c r="L60" s="9"/>
      <c r="M60" s="30"/>
      <c r="P60" s="9"/>
    </row>
    <row r="61" spans="1:16" ht="24.75" customHeight="1" x14ac:dyDescent="0.25">
      <c r="A61" s="175"/>
      <c r="B61" s="190" t="s">
        <v>146</v>
      </c>
      <c r="C61" s="178"/>
      <c r="D61" s="132">
        <f>+D62</f>
        <v>5962536828.7799997</v>
      </c>
      <c r="E61" s="132">
        <f t="shared" ref="E61:F61" si="19">+E62</f>
        <v>6013011874.7099991</v>
      </c>
      <c r="F61" s="132">
        <f t="shared" si="19"/>
        <v>-50475045.92999959</v>
      </c>
      <c r="G61" s="133">
        <f>+F61/E61</f>
        <v>-8.3943033843474572E-3</v>
      </c>
      <c r="H61" s="84">
        <v>55257</v>
      </c>
      <c r="I61" s="9">
        <v>266075</v>
      </c>
      <c r="J61" s="17">
        <v>11398451</v>
      </c>
      <c r="K61" s="9">
        <f t="shared" si="17"/>
        <v>5950817045.7799997</v>
      </c>
      <c r="L61" s="9">
        <f>+H61+I61+J61+K61</f>
        <v>5962536828.7799997</v>
      </c>
      <c r="M61" s="30" t="e">
        <f>+D61/#REF!*100</f>
        <v>#REF!</v>
      </c>
      <c r="P61" s="9">
        <f t="shared" si="18"/>
        <v>0</v>
      </c>
    </row>
    <row r="62" spans="1:16" s="7" customFormat="1" ht="16.5" customHeight="1" x14ac:dyDescent="0.25">
      <c r="A62" s="102">
        <v>48</v>
      </c>
      <c r="B62" s="55" t="s">
        <v>58</v>
      </c>
      <c r="C62" s="147"/>
      <c r="D62" s="52">
        <f>+D64+D66+D67+D68</f>
        <v>5962536828.7799997</v>
      </c>
      <c r="E62" s="52">
        <f>+E64+E66+E67+E68</f>
        <v>6013011874.7099991</v>
      </c>
      <c r="F62" s="52">
        <f>+F64+F66+F67+F68</f>
        <v>-50475045.92999959</v>
      </c>
      <c r="G62" s="99">
        <f>+F62/E62</f>
        <v>-8.3943033843474572E-3</v>
      </c>
      <c r="H62" s="85">
        <v>-26194022.140000001</v>
      </c>
      <c r="I62" s="31">
        <v>353399941.13999999</v>
      </c>
      <c r="J62" s="18">
        <v>-339425027.56</v>
      </c>
      <c r="K62" s="31">
        <f t="shared" si="17"/>
        <v>5974755937.3400002</v>
      </c>
      <c r="L62" s="31">
        <f>+H62+I62+J62+K62</f>
        <v>5962536828.7799997</v>
      </c>
      <c r="M62" s="65" t="e">
        <f>+D62/#REF!*100</f>
        <v>#REF!</v>
      </c>
      <c r="P62" s="31">
        <f t="shared" si="18"/>
        <v>0</v>
      </c>
    </row>
    <row r="63" spans="1:16" ht="14.25" customHeight="1" x14ac:dyDescent="0.2">
      <c r="A63" s="102"/>
      <c r="B63" s="235" t="s">
        <v>150</v>
      </c>
      <c r="C63" s="235"/>
      <c r="D63" s="182"/>
      <c r="E63" s="52"/>
      <c r="F63" s="52"/>
      <c r="G63" s="99"/>
      <c r="H63" s="17"/>
      <c r="I63" s="9"/>
      <c r="J63" s="17"/>
      <c r="K63" s="9">
        <f t="shared" si="17"/>
        <v>0</v>
      </c>
      <c r="L63" s="9"/>
      <c r="P63" s="9">
        <f t="shared" si="18"/>
        <v>0</v>
      </c>
    </row>
    <row r="64" spans="1:16" ht="14.25" customHeight="1" x14ac:dyDescent="0.2">
      <c r="A64" s="105">
        <v>4802</v>
      </c>
      <c r="B64" s="7" t="s">
        <v>59</v>
      </c>
      <c r="C64" s="96"/>
      <c r="D64" s="198">
        <v>5039649860.8299999</v>
      </c>
      <c r="E64" s="198">
        <v>5648800139.9399996</v>
      </c>
      <c r="F64" s="31">
        <f>+D64-E64</f>
        <v>-609150279.10999966</v>
      </c>
      <c r="G64" s="58">
        <f>+F64/E64</f>
        <v>-0.10783710947799083</v>
      </c>
      <c r="H64" s="86">
        <v>3132144.66</v>
      </c>
      <c r="I64" s="9">
        <v>-64640763.659999996</v>
      </c>
      <c r="J64" s="17">
        <v>-5872684.1700000018</v>
      </c>
      <c r="K64" s="9">
        <f t="shared" si="17"/>
        <v>5107031164</v>
      </c>
      <c r="L64" s="9">
        <f t="shared" ref="L64:L71" si="20">+H64+I64+J64+K64</f>
        <v>5039649860.8299999</v>
      </c>
      <c r="M64" s="32">
        <f>+D64/$D$64*100</f>
        <v>100</v>
      </c>
      <c r="P64" s="9">
        <f t="shared" si="18"/>
        <v>0</v>
      </c>
    </row>
    <row r="65" spans="1:22" ht="16.5" customHeight="1" x14ac:dyDescent="0.2">
      <c r="A65" s="107"/>
      <c r="B65" s="235" t="s">
        <v>118</v>
      </c>
      <c r="C65" s="235"/>
      <c r="D65" s="198"/>
      <c r="E65" s="7"/>
      <c r="F65" s="7"/>
      <c r="G65" s="108"/>
      <c r="H65" s="86">
        <v>0</v>
      </c>
      <c r="I65" s="9">
        <v>0</v>
      </c>
      <c r="J65" s="17">
        <v>0</v>
      </c>
      <c r="K65" s="9">
        <f>+D66-H65-I65-J65</f>
        <v>922886967.95000005</v>
      </c>
      <c r="L65" s="9">
        <f t="shared" si="20"/>
        <v>922886967.95000005</v>
      </c>
      <c r="M65" s="30">
        <f>+D66/$D$64*100</f>
        <v>18.312521572639696</v>
      </c>
      <c r="P65" s="9">
        <f>+L65-D66</f>
        <v>0</v>
      </c>
    </row>
    <row r="66" spans="1:22" ht="14.25" customHeight="1" x14ac:dyDescent="0.2">
      <c r="A66" s="105">
        <v>4808</v>
      </c>
      <c r="B66" s="7" t="s">
        <v>147</v>
      </c>
      <c r="C66" s="96"/>
      <c r="D66" s="198">
        <v>922886967.95000005</v>
      </c>
      <c r="E66" s="198">
        <v>359966597.76999998</v>
      </c>
      <c r="F66" s="31">
        <f>+D66-E66</f>
        <v>562920370.18000007</v>
      </c>
      <c r="G66" s="58">
        <f>+F66/E66</f>
        <v>1.5638127917070712</v>
      </c>
      <c r="H66" s="86">
        <v>0</v>
      </c>
      <c r="I66" s="9">
        <v>0</v>
      </c>
      <c r="J66" s="17">
        <v>0</v>
      </c>
      <c r="K66" s="9" t="e">
        <f>+#REF!-H66-I66-J66</f>
        <v>#REF!</v>
      </c>
      <c r="L66" s="9" t="e">
        <f t="shared" si="20"/>
        <v>#REF!</v>
      </c>
      <c r="M66" s="30" t="e">
        <f>+#REF!/$D$64*100</f>
        <v>#REF!</v>
      </c>
      <c r="P66" s="9" t="e">
        <f>+L66-#REF!</f>
        <v>#REF!</v>
      </c>
    </row>
    <row r="67" spans="1:22" ht="25.5" x14ac:dyDescent="0.2">
      <c r="A67" s="105">
        <v>4830</v>
      </c>
      <c r="B67" s="148" t="s">
        <v>162</v>
      </c>
      <c r="C67" s="67"/>
      <c r="D67" s="198">
        <v>0</v>
      </c>
      <c r="E67" s="198">
        <v>4245137</v>
      </c>
      <c r="F67" s="31">
        <f>+D67-E67</f>
        <v>-4245137</v>
      </c>
      <c r="G67" s="58">
        <f>+F67/E67</f>
        <v>-1</v>
      </c>
      <c r="H67" s="86"/>
      <c r="I67" s="9"/>
      <c r="J67" s="17"/>
      <c r="K67" s="9"/>
      <c r="L67" s="9"/>
      <c r="M67" s="30"/>
      <c r="P67" s="9"/>
    </row>
    <row r="68" spans="1:22" ht="6.75" customHeight="1" x14ac:dyDescent="0.2">
      <c r="A68" s="105"/>
      <c r="B68" s="148"/>
      <c r="C68" s="67"/>
      <c r="D68" s="198"/>
      <c r="E68" s="191"/>
      <c r="F68" s="31"/>
      <c r="G68" s="58"/>
      <c r="H68" s="86"/>
      <c r="I68" s="9"/>
      <c r="J68" s="17"/>
      <c r="K68" s="9"/>
      <c r="L68" s="9"/>
      <c r="M68" s="30"/>
      <c r="P68" s="9"/>
    </row>
    <row r="69" spans="1:22" ht="15.75" customHeight="1" x14ac:dyDescent="0.25">
      <c r="A69" s="175"/>
      <c r="B69" s="190" t="s">
        <v>65</v>
      </c>
      <c r="C69" s="147"/>
      <c r="D69" s="132">
        <f>+D70</f>
        <v>122110937.69</v>
      </c>
      <c r="E69" s="132">
        <f t="shared" ref="E69:F69" si="21">+E70</f>
        <v>122134391.43000001</v>
      </c>
      <c r="F69" s="132">
        <f t="shared" si="21"/>
        <v>-23453.740000001621</v>
      </c>
      <c r="G69" s="133">
        <f>+F69/E69</f>
        <v>-1.9203223371726445E-4</v>
      </c>
      <c r="H69" s="86">
        <v>0</v>
      </c>
      <c r="I69" s="9">
        <v>0</v>
      </c>
      <c r="J69" s="17">
        <v>11494977.5</v>
      </c>
      <c r="K69" s="9">
        <f t="shared" si="17"/>
        <v>110615960.19</v>
      </c>
      <c r="L69" s="9">
        <f t="shared" si="20"/>
        <v>122110937.69</v>
      </c>
      <c r="M69" s="30">
        <f>+D69/$D$64*100</f>
        <v>2.4230043963786216</v>
      </c>
      <c r="P69" s="9">
        <f t="shared" si="18"/>
        <v>0</v>
      </c>
    </row>
    <row r="70" spans="1:22" ht="15.95" customHeight="1" x14ac:dyDescent="0.25">
      <c r="A70" s="102">
        <v>58</v>
      </c>
      <c r="B70" s="55" t="s">
        <v>60</v>
      </c>
      <c r="C70" s="147"/>
      <c r="D70" s="52">
        <f>SUM(D71:D75)</f>
        <v>122110937.69</v>
      </c>
      <c r="E70" s="52">
        <f>SUM(E71:E75)</f>
        <v>122134391.43000001</v>
      </c>
      <c r="F70" s="52">
        <f>SUM(F71:F75)</f>
        <v>-23453.740000001621</v>
      </c>
      <c r="G70" s="99">
        <f>+F70/E70</f>
        <v>-1.9203223371726445E-4</v>
      </c>
      <c r="H70" s="86">
        <v>1582.66</v>
      </c>
      <c r="I70" s="9">
        <v>4312380.34</v>
      </c>
      <c r="J70" s="17">
        <v>8893</v>
      </c>
      <c r="K70" s="9">
        <f t="shared" si="17"/>
        <v>117788081.69</v>
      </c>
      <c r="L70" s="9">
        <f t="shared" si="20"/>
        <v>122110937.69</v>
      </c>
      <c r="M70" s="30">
        <f>+D70/$D$64*100</f>
        <v>2.4230043963786216</v>
      </c>
      <c r="P70" s="9">
        <f t="shared" si="18"/>
        <v>0</v>
      </c>
    </row>
    <row r="71" spans="1:22" x14ac:dyDescent="0.2">
      <c r="A71" s="105" t="s">
        <v>148</v>
      </c>
      <c r="B71" s="7" t="s">
        <v>61</v>
      </c>
      <c r="C71" s="67"/>
      <c r="D71" s="198">
        <v>15288139.390000001</v>
      </c>
      <c r="E71" s="198">
        <v>7617719.0700000003</v>
      </c>
      <c r="F71" s="31">
        <f t="shared" ref="F71:F75" si="22">+D71-E71</f>
        <v>7670420.3200000003</v>
      </c>
      <c r="G71" s="58">
        <f t="shared" ref="G71:G75" si="23">+F71/E71</f>
        <v>1.0069182454112213</v>
      </c>
      <c r="H71" s="86">
        <v>3130562</v>
      </c>
      <c r="I71" s="9">
        <v>-80837813</v>
      </c>
      <c r="J71" s="17">
        <v>-17376555.010000005</v>
      </c>
      <c r="K71" s="9" t="e">
        <f>+#REF!-H71-I71-J71</f>
        <v>#REF!</v>
      </c>
      <c r="L71" s="9" t="e">
        <f t="shared" si="20"/>
        <v>#REF!</v>
      </c>
      <c r="M71" s="30" t="e">
        <f>+#REF!/$D$64*100</f>
        <v>#REF!</v>
      </c>
      <c r="P71" s="9" t="e">
        <f>+L71-#REF!</f>
        <v>#REF!</v>
      </c>
      <c r="V71" s="31"/>
    </row>
    <row r="72" spans="1:22" x14ac:dyDescent="0.2">
      <c r="A72" s="105">
        <v>5803</v>
      </c>
      <c r="B72" s="7" t="s">
        <v>188</v>
      </c>
      <c r="C72" s="67"/>
      <c r="D72" s="198">
        <v>24001</v>
      </c>
      <c r="E72" s="198">
        <v>3550518.4</v>
      </c>
      <c r="F72" s="31">
        <f t="shared" si="22"/>
        <v>-3526517.4</v>
      </c>
      <c r="G72" s="58">
        <f t="shared" si="23"/>
        <v>-0.99324014205925537</v>
      </c>
      <c r="H72" s="86"/>
      <c r="I72" s="9"/>
      <c r="J72" s="17"/>
      <c r="K72" s="9"/>
      <c r="L72" s="9"/>
      <c r="M72" s="30"/>
      <c r="P72" s="9"/>
      <c r="V72" s="31"/>
    </row>
    <row r="73" spans="1:22" ht="14.25" customHeight="1" x14ac:dyDescent="0.2">
      <c r="A73" s="105">
        <v>5890</v>
      </c>
      <c r="B73" s="59" t="s">
        <v>149</v>
      </c>
      <c r="C73" s="67"/>
      <c r="D73" s="198">
        <v>1154236.47</v>
      </c>
      <c r="E73" s="198">
        <v>7642241.21</v>
      </c>
      <c r="F73" s="31">
        <f t="shared" si="22"/>
        <v>-6488004.7400000002</v>
      </c>
      <c r="G73" s="58">
        <f t="shared" si="23"/>
        <v>-0.84896623408200433</v>
      </c>
      <c r="H73" s="86">
        <v>7419840197.1899986</v>
      </c>
      <c r="I73" s="9">
        <v>-5445510432.1899986</v>
      </c>
      <c r="J73" s="17">
        <v>411886124.68999863</v>
      </c>
      <c r="K73" s="9">
        <f t="shared" si="17"/>
        <v>-2385061653.2199984</v>
      </c>
      <c r="L73" s="9">
        <f>+H73+I73+J73+K73</f>
        <v>1154236.470000267</v>
      </c>
      <c r="P73" s="9">
        <f t="shared" si="18"/>
        <v>2.6705674827098846E-7</v>
      </c>
      <c r="V73" s="31"/>
    </row>
    <row r="74" spans="1:22" ht="14.25" customHeight="1" thickBot="1" x14ac:dyDescent="0.25">
      <c r="A74" s="105">
        <v>5893</v>
      </c>
      <c r="B74" s="59" t="s">
        <v>194</v>
      </c>
      <c r="C74" s="67"/>
      <c r="D74" s="198">
        <v>105000</v>
      </c>
      <c r="E74" s="198">
        <v>0</v>
      </c>
      <c r="F74" s="31">
        <f t="shared" si="22"/>
        <v>105000</v>
      </c>
      <c r="G74" s="58" t="s">
        <v>6</v>
      </c>
      <c r="H74" s="18"/>
      <c r="I74" s="9"/>
      <c r="J74" s="17"/>
      <c r="K74" s="9"/>
      <c r="L74" s="9"/>
      <c r="P74" s="9"/>
      <c r="V74" s="31"/>
    </row>
    <row r="75" spans="1:22" s="15" customFormat="1" ht="26.25" customHeight="1" x14ac:dyDescent="0.2">
      <c r="A75" s="105">
        <v>5895</v>
      </c>
      <c r="B75" s="158" t="s">
        <v>126</v>
      </c>
      <c r="C75" s="67"/>
      <c r="D75" s="198">
        <v>105539560.83</v>
      </c>
      <c r="E75" s="198">
        <v>103323912.75</v>
      </c>
      <c r="F75" s="31">
        <f t="shared" si="22"/>
        <v>2215648.0799999982</v>
      </c>
      <c r="G75" s="58">
        <f t="shared" si="23"/>
        <v>2.1443710570281303E-2</v>
      </c>
      <c r="H75" s="66"/>
      <c r="V75" s="31"/>
    </row>
    <row r="76" spans="1:22" s="7" customFormat="1" ht="12.75" hidden="1" customHeight="1" x14ac:dyDescent="0.2">
      <c r="A76" s="97"/>
      <c r="C76" s="67"/>
      <c r="D76" s="18"/>
      <c r="E76" s="31"/>
      <c r="F76" s="31"/>
      <c r="G76" s="100"/>
      <c r="H76" s="18"/>
      <c r="I76" s="31"/>
    </row>
    <row r="77" spans="1:22" s="7" customFormat="1" ht="27.75" customHeight="1" x14ac:dyDescent="0.25">
      <c r="A77" s="97"/>
      <c r="B77" s="190" t="s">
        <v>153</v>
      </c>
      <c r="C77" s="178"/>
      <c r="D77" s="132">
        <f>+D59+D61-D69</f>
        <v>23411958587.190006</v>
      </c>
      <c r="E77" s="132">
        <f>+E59+E61-E69</f>
        <v>20515131884.599998</v>
      </c>
      <c r="F77" s="132">
        <f>+F59+F61-F69</f>
        <v>6074817912.4299994</v>
      </c>
      <c r="G77" s="133">
        <f>+F77/E77</f>
        <v>0.29611400728991438</v>
      </c>
      <c r="H77" s="18"/>
      <c r="V77" s="31"/>
    </row>
    <row r="78" spans="1:22" s="7" customFormat="1" ht="2.25" customHeight="1" x14ac:dyDescent="0.2">
      <c r="A78" s="97"/>
      <c r="B78" s="4"/>
      <c r="C78" s="178"/>
      <c r="D78" s="16"/>
      <c r="E78" s="89"/>
      <c r="F78" s="52"/>
      <c r="G78" s="109"/>
      <c r="H78" s="18"/>
      <c r="I78" s="179" t="s">
        <v>62</v>
      </c>
      <c r="J78" s="181" t="s">
        <v>63</v>
      </c>
    </row>
    <row r="79" spans="1:22" s="7" customFormat="1" ht="50.25" customHeight="1" x14ac:dyDescent="0.2">
      <c r="A79" s="204" t="s">
        <v>196</v>
      </c>
      <c r="B79" s="233"/>
      <c r="C79" s="233"/>
      <c r="D79" s="233"/>
      <c r="E79" s="233"/>
      <c r="F79" s="233"/>
      <c r="G79" s="234"/>
      <c r="H79" s="180"/>
      <c r="I79" s="180"/>
      <c r="J79" s="23">
        <f>+I79/12</f>
        <v>0</v>
      </c>
    </row>
  </sheetData>
  <mergeCells count="14">
    <mergeCell ref="A7:A8"/>
    <mergeCell ref="B7:B8"/>
    <mergeCell ref="C7:C8"/>
    <mergeCell ref="A1:G1"/>
    <mergeCell ref="A3:G3"/>
    <mergeCell ref="A4:G4"/>
    <mergeCell ref="H6:K6"/>
    <mergeCell ref="G7:G8"/>
    <mergeCell ref="A5:G5"/>
    <mergeCell ref="A79:G79"/>
    <mergeCell ref="B63:C63"/>
    <mergeCell ref="B65:C65"/>
    <mergeCell ref="A2:G2"/>
    <mergeCell ref="H2:N2"/>
  </mergeCells>
  <printOptions horizontalCentered="1" verticalCentered="1"/>
  <pageMargins left="0.31496062992125984" right="0" top="0.19685039370078741" bottom="0.11811023622047245" header="0" footer="0"/>
  <pageSetup paperSize="9" scale="7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6354-3527-4AEF-94CA-F622A69F93E0}">
  <dimension ref="A1:AD67"/>
  <sheetViews>
    <sheetView tabSelected="1" zoomScaleNormal="100" workbookViewId="0">
      <selection activeCell="L21" sqref="L21"/>
    </sheetView>
  </sheetViews>
  <sheetFormatPr baseColWidth="10" defaultColWidth="11.42578125" defaultRowHeight="12.75" x14ac:dyDescent="0.2"/>
  <cols>
    <col min="1" max="1" width="5.140625" style="82" customWidth="1"/>
    <col min="2" max="2" width="25.42578125" style="82" customWidth="1"/>
    <col min="3" max="3" width="1.140625" style="72" customWidth="1"/>
    <col min="4" max="4" width="17.85546875" style="14" customWidth="1"/>
    <col min="5" max="5" width="18.28515625" style="14" customWidth="1"/>
    <col min="6" max="6" width="28" style="14" bestFit="1" customWidth="1"/>
    <col min="7" max="7" width="10.85546875" style="14" customWidth="1"/>
    <col min="8" max="8" width="4.42578125" style="82" bestFit="1" customWidth="1"/>
    <col min="9" max="9" width="22.28515625" style="82" customWidth="1"/>
    <col min="10" max="10" width="2" style="72" customWidth="1"/>
    <col min="11" max="11" width="14.42578125" style="21" customWidth="1"/>
    <col min="12" max="12" width="14" style="14" customWidth="1"/>
    <col min="13" max="13" width="13.85546875" style="14" hidden="1" customWidth="1"/>
    <col min="14" max="14" width="7.42578125" style="82" customWidth="1"/>
    <col min="15" max="15" width="6.140625" style="82" hidden="1" customWidth="1"/>
    <col min="16" max="17" width="6.5703125" style="82" hidden="1" customWidth="1"/>
    <col min="18" max="18" width="7.85546875" style="82" hidden="1" customWidth="1"/>
    <col min="19" max="19" width="7" style="82" hidden="1" customWidth="1"/>
    <col min="20" max="22" width="11.42578125" style="82" hidden="1" customWidth="1"/>
    <col min="23" max="23" width="7.85546875" style="82" customWidth="1"/>
    <col min="24" max="24" width="4.85546875" style="82" customWidth="1"/>
    <col min="25" max="16384" width="11.42578125" style="82"/>
  </cols>
  <sheetData>
    <row r="1" spans="1:25" s="1" customFormat="1" ht="18" x14ac:dyDescent="0.25">
      <c r="A1" s="212" t="s">
        <v>174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</row>
    <row r="2" spans="1:25" s="1" customFormat="1" ht="18" x14ac:dyDescent="0.25">
      <c r="A2" s="215" t="s">
        <v>167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</row>
    <row r="3" spans="1:25" s="1" customFormat="1" ht="18" x14ac:dyDescent="0.25">
      <c r="A3" s="215" t="s">
        <v>173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1:25" s="1" customFormat="1" ht="18" x14ac:dyDescent="0.25">
      <c r="A4" s="215" t="s">
        <v>197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7"/>
    </row>
    <row r="5" spans="1:25" s="1" customFormat="1" ht="18" x14ac:dyDescent="0.25">
      <c r="A5" s="218" t="s">
        <v>68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</row>
    <row r="6" spans="1:25" s="2" customFormat="1" ht="14.25" customHeight="1" x14ac:dyDescent="0.2">
      <c r="A6" s="221" t="s">
        <v>0</v>
      </c>
      <c r="B6" s="222" t="s">
        <v>38</v>
      </c>
      <c r="C6" s="222"/>
      <c r="D6" s="94">
        <v>2025</v>
      </c>
      <c r="E6" s="94">
        <v>2024</v>
      </c>
      <c r="F6" s="44" t="s">
        <v>2</v>
      </c>
      <c r="G6" s="223" t="s">
        <v>151</v>
      </c>
      <c r="H6" s="224" t="s">
        <v>0</v>
      </c>
      <c r="I6" s="222" t="s">
        <v>38</v>
      </c>
      <c r="J6" s="222"/>
      <c r="K6" s="94">
        <v>2025</v>
      </c>
      <c r="L6" s="94">
        <v>2024</v>
      </c>
      <c r="M6" s="44" t="s">
        <v>2</v>
      </c>
      <c r="N6" s="225" t="s">
        <v>151</v>
      </c>
      <c r="P6" s="201" t="s">
        <v>1</v>
      </c>
      <c r="Q6" s="201"/>
      <c r="R6" s="201" t="s">
        <v>4</v>
      </c>
      <c r="S6" s="201"/>
    </row>
    <row r="7" spans="1:25" s="2" customFormat="1" ht="12" customHeight="1" x14ac:dyDescent="0.2">
      <c r="A7" s="221"/>
      <c r="B7" s="222"/>
      <c r="C7" s="222"/>
      <c r="D7" s="94" t="s">
        <v>198</v>
      </c>
      <c r="E7" s="94" t="s">
        <v>201</v>
      </c>
      <c r="F7" s="44" t="s">
        <v>5</v>
      </c>
      <c r="G7" s="223"/>
      <c r="H7" s="224"/>
      <c r="I7" s="222"/>
      <c r="J7" s="222"/>
      <c r="K7" s="94" t="s">
        <v>198</v>
      </c>
      <c r="L7" s="94" t="s">
        <v>198</v>
      </c>
      <c r="M7" s="44" t="s">
        <v>5</v>
      </c>
      <c r="N7" s="225"/>
    </row>
    <row r="8" spans="1:25" s="2" customFormat="1" ht="15.75" customHeight="1" x14ac:dyDescent="0.2">
      <c r="A8" s="110"/>
      <c r="B8" s="189" t="s">
        <v>1</v>
      </c>
      <c r="C8" s="44"/>
      <c r="D8" s="90"/>
      <c r="E8" s="90"/>
      <c r="F8" s="90"/>
      <c r="G8" s="125"/>
      <c r="H8" s="42"/>
      <c r="I8" s="189" t="s">
        <v>3</v>
      </c>
      <c r="J8" s="44"/>
      <c r="K8" s="20"/>
      <c r="L8" s="43"/>
      <c r="M8" s="43"/>
      <c r="N8" s="111"/>
    </row>
    <row r="9" spans="1:25" s="2" customFormat="1" ht="21.75" customHeight="1" x14ac:dyDescent="0.2">
      <c r="A9" s="110"/>
      <c r="B9" s="41" t="s">
        <v>69</v>
      </c>
      <c r="C9" s="44"/>
      <c r="D9" s="128">
        <f>+D10+D15+D21+D25</f>
        <v>280949874752.38</v>
      </c>
      <c r="E9" s="128">
        <f>+E10+E15+E21+E25</f>
        <v>238186208977.22</v>
      </c>
      <c r="F9" s="128">
        <f>+F10+F15+F21+F25</f>
        <v>42763665775.159973</v>
      </c>
      <c r="G9" s="129">
        <f>+F9/E9</f>
        <v>0.17953879848371015</v>
      </c>
      <c r="H9" s="42"/>
      <c r="I9" s="41" t="s">
        <v>93</v>
      </c>
      <c r="J9" s="44"/>
      <c r="K9" s="128">
        <f>+K10+K18+K21+K25</f>
        <v>38298082483.779999</v>
      </c>
      <c r="L9" s="128">
        <f>+L10+L18+L21+L25</f>
        <v>21866989952.540001</v>
      </c>
      <c r="M9" s="128">
        <f>+M10+M18+M21+M25</f>
        <v>16431092531.24</v>
      </c>
      <c r="N9" s="130">
        <f>+M9/L9</f>
        <v>0.7514108053692784</v>
      </c>
      <c r="P9" s="33">
        <f>+D9/D9*100</f>
        <v>100</v>
      </c>
      <c r="Q9" s="40">
        <f>+D9/D54*100</f>
        <v>45.666971090512163</v>
      </c>
    </row>
    <row r="10" spans="1:25" s="2" customFormat="1" ht="26.25" customHeight="1" x14ac:dyDescent="0.2">
      <c r="A10" s="115">
        <v>11</v>
      </c>
      <c r="B10" s="141" t="s">
        <v>70</v>
      </c>
      <c r="C10" s="44"/>
      <c r="D10" s="76">
        <f>SUM(D11:D13)</f>
        <v>261336700188.60999</v>
      </c>
      <c r="E10" s="76">
        <f>SUM(E11:E13)</f>
        <v>221595797855.75</v>
      </c>
      <c r="F10" s="76">
        <f>SUM(F11:F13)</f>
        <v>39740902332.859978</v>
      </c>
      <c r="G10" s="126">
        <f>+F10/E10</f>
        <v>0.1793396026342057</v>
      </c>
      <c r="H10" s="46">
        <v>24</v>
      </c>
      <c r="I10" s="45" t="s">
        <v>94</v>
      </c>
      <c r="J10" s="44"/>
      <c r="K10" s="76">
        <f>SUM(K11:K16)</f>
        <v>4949505949.8499994</v>
      </c>
      <c r="L10" s="76">
        <f>SUM(L11:L16)</f>
        <v>4846478687.2700005</v>
      </c>
      <c r="M10" s="76">
        <f>SUM(M11:M16)</f>
        <v>103027262.58000004</v>
      </c>
      <c r="N10" s="112">
        <f t="shared" ref="N10:N14" si="0">+M10/L10</f>
        <v>2.1258168915632814E-2</v>
      </c>
    </row>
    <row r="11" spans="1:25" s="2" customFormat="1" ht="24.75" customHeight="1" x14ac:dyDescent="0.2">
      <c r="A11" s="110">
        <v>1105</v>
      </c>
      <c r="B11" s="77" t="s">
        <v>176</v>
      </c>
      <c r="C11" s="69"/>
      <c r="D11" s="197">
        <v>751821690</v>
      </c>
      <c r="E11" s="197">
        <v>0</v>
      </c>
      <c r="F11" s="75">
        <f>+D11-E11</f>
        <v>751821690</v>
      </c>
      <c r="G11" s="188" t="s">
        <v>6</v>
      </c>
      <c r="H11" s="47">
        <v>2401</v>
      </c>
      <c r="I11" s="77" t="s">
        <v>95</v>
      </c>
      <c r="J11" s="69"/>
      <c r="K11" s="197">
        <v>2052154577.73</v>
      </c>
      <c r="L11" s="197">
        <v>1779278282.22</v>
      </c>
      <c r="M11" s="75">
        <f>+K11-L11</f>
        <v>272876295.50999999</v>
      </c>
      <c r="N11" s="113">
        <f t="shared" si="0"/>
        <v>0.15336347227794692</v>
      </c>
    </row>
    <row r="12" spans="1:25" s="2" customFormat="1" ht="26.25" customHeight="1" x14ac:dyDescent="0.2">
      <c r="A12" s="110">
        <v>1110</v>
      </c>
      <c r="B12" s="77" t="s">
        <v>71</v>
      </c>
      <c r="C12" s="69"/>
      <c r="D12" s="197">
        <v>260370020671.01999</v>
      </c>
      <c r="E12" s="199">
        <v>221314187087.20001</v>
      </c>
      <c r="F12" s="75">
        <f>+D12-E12</f>
        <v>39055833583.819977</v>
      </c>
      <c r="G12" s="127">
        <f>+F12/E12</f>
        <v>0.17647234503060388</v>
      </c>
      <c r="H12" s="47">
        <v>2407</v>
      </c>
      <c r="I12" s="77" t="s">
        <v>96</v>
      </c>
      <c r="J12" s="69"/>
      <c r="K12" s="197">
        <v>90954180</v>
      </c>
      <c r="L12" s="197">
        <v>404185826</v>
      </c>
      <c r="M12" s="75">
        <f t="shared" ref="M12:M16" si="1">+K12-L12</f>
        <v>-313231646</v>
      </c>
      <c r="N12" s="113">
        <f t="shared" si="0"/>
        <v>-0.77496939736822934</v>
      </c>
      <c r="P12" s="11">
        <f>+D10/$D$9*100</f>
        <v>93.018977288722255</v>
      </c>
      <c r="S12" s="11">
        <f>+K10/$K$35*100</f>
        <v>925.79587238393037</v>
      </c>
    </row>
    <row r="13" spans="1:25" s="2" customFormat="1" ht="18" customHeight="1" x14ac:dyDescent="0.2">
      <c r="A13" s="110">
        <v>1133</v>
      </c>
      <c r="B13" s="42" t="s">
        <v>72</v>
      </c>
      <c r="C13" s="69"/>
      <c r="D13" s="197">
        <v>214857827.59</v>
      </c>
      <c r="E13" s="199">
        <v>281610768.55000001</v>
      </c>
      <c r="F13" s="75">
        <f>+D13-E13</f>
        <v>-66752940.960000008</v>
      </c>
      <c r="G13" s="127">
        <f>+F13/E13</f>
        <v>-0.23703973148366314</v>
      </c>
      <c r="H13" s="47">
        <v>2424</v>
      </c>
      <c r="I13" s="77" t="s">
        <v>97</v>
      </c>
      <c r="J13" s="69"/>
      <c r="K13" s="197">
        <v>1328629640</v>
      </c>
      <c r="L13" s="197">
        <v>1338894532.76</v>
      </c>
      <c r="M13" s="75">
        <f t="shared" si="1"/>
        <v>-10264892.75999999</v>
      </c>
      <c r="N13" s="113">
        <f t="shared" si="0"/>
        <v>-7.6666925652761602E-3</v>
      </c>
      <c r="P13" s="11">
        <f>+D18/$D$9*100</f>
        <v>6.2815040657534587</v>
      </c>
      <c r="R13" s="11">
        <f>+K11/$K$10*100</f>
        <v>41.461806461555881</v>
      </c>
      <c r="S13" s="11"/>
    </row>
    <row r="14" spans="1:25" s="2" customFormat="1" ht="28.15" customHeight="1" x14ac:dyDescent="0.2">
      <c r="A14" s="115"/>
      <c r="B14" s="141"/>
      <c r="C14" s="69"/>
      <c r="D14" s="76"/>
      <c r="E14" s="76"/>
      <c r="F14" s="76"/>
      <c r="G14" s="187"/>
      <c r="H14" s="47">
        <v>2436</v>
      </c>
      <c r="I14" s="77" t="s">
        <v>98</v>
      </c>
      <c r="J14" s="69"/>
      <c r="K14" s="197">
        <v>175200407</v>
      </c>
      <c r="L14" s="197">
        <v>164854594</v>
      </c>
      <c r="M14" s="75">
        <f t="shared" si="1"/>
        <v>10345813</v>
      </c>
      <c r="N14" s="113">
        <f t="shared" si="0"/>
        <v>6.2757201658571918E-2</v>
      </c>
      <c r="P14" s="11"/>
      <c r="R14" s="11"/>
      <c r="S14" s="11"/>
      <c r="Y14" s="12"/>
    </row>
    <row r="15" spans="1:25" s="2" customFormat="1" ht="36" customHeight="1" x14ac:dyDescent="0.2">
      <c r="A15" s="115">
        <v>13</v>
      </c>
      <c r="B15" s="45" t="s">
        <v>73</v>
      </c>
      <c r="C15" s="44"/>
      <c r="D15" s="76">
        <f>SUM(D16:D19)</f>
        <v>17671525124.299999</v>
      </c>
      <c r="E15" s="76">
        <f t="shared" ref="E15:F15" si="2">SUM(E16:E19)</f>
        <v>15664377186.129999</v>
      </c>
      <c r="F15" s="76">
        <f t="shared" si="2"/>
        <v>2007147938.1699996</v>
      </c>
      <c r="G15" s="126">
        <f>+F15/E15</f>
        <v>0.12813455104664015</v>
      </c>
      <c r="H15" s="47">
        <v>2440</v>
      </c>
      <c r="I15" s="77" t="s">
        <v>99</v>
      </c>
      <c r="J15" s="69"/>
      <c r="K15" s="197">
        <v>832293940</v>
      </c>
      <c r="L15" s="197">
        <v>161406680</v>
      </c>
      <c r="M15" s="75">
        <f t="shared" si="1"/>
        <v>670887260</v>
      </c>
      <c r="N15" s="113">
        <f>+M15/L15</f>
        <v>4.1565024446324035</v>
      </c>
      <c r="P15" s="11"/>
      <c r="R15" s="11">
        <f>+K12/$K$10*100</f>
        <v>1.837641593354514</v>
      </c>
      <c r="S15" s="11"/>
    </row>
    <row r="16" spans="1:25" s="2" customFormat="1" ht="20.25" customHeight="1" x14ac:dyDescent="0.2">
      <c r="A16" s="114">
        <v>1311</v>
      </c>
      <c r="B16" s="77" t="s">
        <v>199</v>
      </c>
      <c r="C16" s="69"/>
      <c r="D16" s="197">
        <v>17229751</v>
      </c>
      <c r="E16" s="197">
        <v>0</v>
      </c>
      <c r="F16" s="75">
        <f t="shared" ref="F16:F19" si="3">+D16-E16</f>
        <v>17229751</v>
      </c>
      <c r="G16" s="188" t="s">
        <v>6</v>
      </c>
      <c r="H16" s="42">
        <v>2490</v>
      </c>
      <c r="I16" s="42" t="s">
        <v>100</v>
      </c>
      <c r="J16" s="69"/>
      <c r="K16" s="197">
        <v>470273205.12</v>
      </c>
      <c r="L16" s="197">
        <v>997858772.28999996</v>
      </c>
      <c r="M16" s="75">
        <f t="shared" si="1"/>
        <v>-527585567.16999996</v>
      </c>
      <c r="N16" s="113">
        <f t="shared" ref="N16" si="4">+M16/L16</f>
        <v>-0.52871767210026777</v>
      </c>
      <c r="P16" s="11">
        <f>+D20/$D$9*100</f>
        <v>0</v>
      </c>
      <c r="R16" s="11">
        <f>+K13/$K$10*100</f>
        <v>26.843682045483057</v>
      </c>
      <c r="S16" s="11"/>
    </row>
    <row r="17" spans="1:30" s="2" customFormat="1" ht="20.25" customHeight="1" x14ac:dyDescent="0.2">
      <c r="A17" s="114">
        <v>1316</v>
      </c>
      <c r="B17" s="77" t="s">
        <v>7</v>
      </c>
      <c r="C17" s="69"/>
      <c r="D17" s="197">
        <v>378300</v>
      </c>
      <c r="E17" s="197">
        <v>1310950</v>
      </c>
      <c r="F17" s="75">
        <f t="shared" si="3"/>
        <v>-932650</v>
      </c>
      <c r="G17" s="127">
        <f>+F17/E17</f>
        <v>-0.71143064190091154</v>
      </c>
      <c r="H17" s="42"/>
      <c r="I17" s="77"/>
      <c r="J17" s="69"/>
      <c r="K17" s="75"/>
      <c r="L17" s="75"/>
      <c r="M17" s="75"/>
      <c r="N17" s="116"/>
      <c r="P17" s="11" t="e">
        <f>+D22/$D$20*100</f>
        <v>#DIV/0!</v>
      </c>
      <c r="R17" s="11">
        <f>+K15/$K$10*100</f>
        <v>16.815697332886803</v>
      </c>
      <c r="S17" s="11"/>
    </row>
    <row r="18" spans="1:30" s="2" customFormat="1" ht="21.75" customHeight="1" x14ac:dyDescent="0.2">
      <c r="A18" s="117">
        <v>1317</v>
      </c>
      <c r="B18" s="77" t="s">
        <v>74</v>
      </c>
      <c r="C18" s="69"/>
      <c r="D18" s="197">
        <v>17647877805.299999</v>
      </c>
      <c r="E18" s="197">
        <v>15650576419.9</v>
      </c>
      <c r="F18" s="75">
        <f t="shared" si="3"/>
        <v>1997301385.3999996</v>
      </c>
      <c r="G18" s="127">
        <f t="shared" ref="G18:G19" si="5">+F18/E18</f>
        <v>0.12761839128560107</v>
      </c>
      <c r="H18" s="46">
        <v>25</v>
      </c>
      <c r="I18" s="141" t="s">
        <v>101</v>
      </c>
      <c r="J18" s="44"/>
      <c r="K18" s="76">
        <f>+K19</f>
        <v>12230143945.5</v>
      </c>
      <c r="L18" s="76">
        <f>+L19</f>
        <v>11867341617.6</v>
      </c>
      <c r="M18" s="76">
        <f>+M19</f>
        <v>362802327.89999962</v>
      </c>
      <c r="N18" s="112">
        <f>+M18/L18</f>
        <v>3.0571491037381226E-2</v>
      </c>
      <c r="P18" s="11"/>
      <c r="R18" s="11">
        <f>+K16/$K$10*100</f>
        <v>9.5014171087975399</v>
      </c>
      <c r="S18" s="11">
        <f>+K16/$K$35*100</f>
        <v>87.963727411228206</v>
      </c>
    </row>
    <row r="19" spans="1:30" s="2" customFormat="1" ht="25.5" customHeight="1" x14ac:dyDescent="0.2">
      <c r="A19" s="117">
        <v>1384</v>
      </c>
      <c r="B19" s="77" t="s">
        <v>75</v>
      </c>
      <c r="C19" s="69"/>
      <c r="D19" s="197">
        <v>6039268</v>
      </c>
      <c r="E19" s="197">
        <v>12489816.23</v>
      </c>
      <c r="F19" s="75">
        <f t="shared" si="3"/>
        <v>-6450548.2300000004</v>
      </c>
      <c r="G19" s="127">
        <f t="shared" si="5"/>
        <v>-0.51646462295466455</v>
      </c>
      <c r="H19" s="49">
        <v>2511</v>
      </c>
      <c r="I19" s="77" t="s">
        <v>102</v>
      </c>
      <c r="J19" s="69"/>
      <c r="K19" s="197">
        <v>12230143945.5</v>
      </c>
      <c r="L19" s="197">
        <v>11867341617.6</v>
      </c>
      <c r="M19" s="75">
        <f>+K19-L19</f>
        <v>362802327.89999962</v>
      </c>
      <c r="N19" s="113">
        <f>+M19/L19</f>
        <v>3.0571491037381226E-2</v>
      </c>
      <c r="R19" s="11" t="e">
        <f>+#REF!/$K$10*100</f>
        <v>#REF!</v>
      </c>
      <c r="S19" s="11"/>
    </row>
    <row r="20" spans="1:30" s="2" customFormat="1" ht="1.5" customHeight="1" x14ac:dyDescent="0.2">
      <c r="A20" s="117"/>
      <c r="B20" s="77"/>
      <c r="C20" s="69"/>
      <c r="D20" s="75"/>
      <c r="E20" s="197"/>
      <c r="F20" s="75"/>
      <c r="G20" s="127"/>
      <c r="H20" s="42"/>
      <c r="I20" s="42"/>
      <c r="J20" s="69"/>
      <c r="K20" s="75"/>
      <c r="L20" s="75"/>
      <c r="M20" s="75"/>
      <c r="N20" s="118"/>
      <c r="S20" s="11"/>
      <c r="X20" s="47"/>
      <c r="Y20" s="12"/>
      <c r="AD20" s="127"/>
    </row>
    <row r="21" spans="1:30" s="2" customFormat="1" ht="21.75" customHeight="1" x14ac:dyDescent="0.2">
      <c r="A21" s="115">
        <v>15</v>
      </c>
      <c r="B21" s="45" t="s">
        <v>77</v>
      </c>
      <c r="C21" s="44"/>
      <c r="D21" s="76">
        <f>SUM(D22:D24)</f>
        <v>802540369.82000005</v>
      </c>
      <c r="E21" s="76">
        <f>SUM(E22:E24)</f>
        <v>492371390.68000001</v>
      </c>
      <c r="F21" s="76">
        <f>SUM(F22:F24)</f>
        <v>310168979.13999993</v>
      </c>
      <c r="G21" s="126">
        <f t="shared" ref="G21:G26" si="6">+F21/E21</f>
        <v>0.62994923143612069</v>
      </c>
      <c r="H21" s="46">
        <v>27</v>
      </c>
      <c r="I21" s="45" t="s">
        <v>103</v>
      </c>
      <c r="J21" s="44"/>
      <c r="K21" s="76">
        <f>SUM(K22:K23)</f>
        <v>199590594</v>
      </c>
      <c r="L21" s="76">
        <f>SUM(L22:L23)</f>
        <v>161712073</v>
      </c>
      <c r="M21" s="76">
        <f>SUM(M22:M23)</f>
        <v>37878521</v>
      </c>
      <c r="N21" s="112">
        <f>+M21/L21</f>
        <v>0.23423434192201592</v>
      </c>
      <c r="P21" s="11" t="e">
        <f>+#REF!/$D$20*100</f>
        <v>#REF!</v>
      </c>
      <c r="Q21" s="11"/>
      <c r="R21" s="11"/>
      <c r="S21" s="11">
        <f>+K18/$K$35*100</f>
        <v>2287.625653576265</v>
      </c>
      <c r="X21" s="47"/>
      <c r="Y21" s="12"/>
      <c r="AD21" s="127"/>
    </row>
    <row r="22" spans="1:30" s="2" customFormat="1" ht="18" customHeight="1" x14ac:dyDescent="0.2">
      <c r="A22" s="117">
        <v>1510</v>
      </c>
      <c r="B22" s="77" t="s">
        <v>78</v>
      </c>
      <c r="C22" s="69"/>
      <c r="D22" s="197">
        <v>162853972.44999999</v>
      </c>
      <c r="E22" s="197">
        <v>119767713.87</v>
      </c>
      <c r="F22" s="75">
        <f>+D22-E22</f>
        <v>43086258.579999983</v>
      </c>
      <c r="G22" s="127">
        <f t="shared" si="6"/>
        <v>0.35974852644150235</v>
      </c>
      <c r="H22" s="47">
        <v>2701</v>
      </c>
      <c r="I22" s="77" t="s">
        <v>28</v>
      </c>
      <c r="J22" s="69"/>
      <c r="K22" s="197">
        <v>199590594</v>
      </c>
      <c r="L22" s="197">
        <v>161712073</v>
      </c>
      <c r="M22" s="75">
        <f>+K22-L22</f>
        <v>37878521</v>
      </c>
      <c r="N22" s="113">
        <f>+M22/L22</f>
        <v>0.23423434192201592</v>
      </c>
      <c r="P22" s="11" t="e">
        <f>+D23/$D$20*100</f>
        <v>#DIV/0!</v>
      </c>
      <c r="R22" s="11"/>
      <c r="S22" s="11"/>
    </row>
    <row r="23" spans="1:30" s="2" customFormat="1" ht="19.5" customHeight="1" x14ac:dyDescent="0.2">
      <c r="A23" s="117">
        <v>1514</v>
      </c>
      <c r="B23" s="77" t="s">
        <v>79</v>
      </c>
      <c r="C23" s="69"/>
      <c r="D23" s="197">
        <v>637209949.28999996</v>
      </c>
      <c r="E23" s="197">
        <v>369748048.69</v>
      </c>
      <c r="F23" s="75">
        <f>+D23-E23</f>
        <v>267461900.59999996</v>
      </c>
      <c r="G23" s="127">
        <f t="shared" si="6"/>
        <v>0.7233625749956083</v>
      </c>
      <c r="H23" s="47"/>
      <c r="I23" s="77"/>
      <c r="J23" s="70"/>
      <c r="K23" s="75"/>
      <c r="L23" s="75"/>
      <c r="M23" s="75"/>
      <c r="N23" s="113"/>
      <c r="P23" s="11" t="e">
        <f>+D24/$D$20*100</f>
        <v>#DIV/0!</v>
      </c>
      <c r="R23" s="11"/>
      <c r="S23" s="11"/>
    </row>
    <row r="24" spans="1:30" s="2" customFormat="1" ht="20.25" customHeight="1" x14ac:dyDescent="0.2">
      <c r="A24" s="110">
        <v>1530</v>
      </c>
      <c r="B24" s="42" t="s">
        <v>9</v>
      </c>
      <c r="C24" s="69"/>
      <c r="D24" s="197">
        <v>2476448.08</v>
      </c>
      <c r="E24" s="197">
        <v>2855628.12</v>
      </c>
      <c r="F24" s="75">
        <f t="shared" ref="F24" si="7">+D24-E24</f>
        <v>-379180.04000000004</v>
      </c>
      <c r="G24" s="127">
        <f t="shared" si="6"/>
        <v>-0.13278341018717801</v>
      </c>
      <c r="H24" s="48"/>
      <c r="I24" s="49"/>
      <c r="J24" s="70"/>
      <c r="K24" s="75"/>
      <c r="L24" s="75"/>
      <c r="M24" s="75"/>
      <c r="N24" s="113"/>
      <c r="P24" s="11"/>
      <c r="R24" s="11"/>
      <c r="S24" s="11">
        <f>+K21/$K$35*100</f>
        <v>37.333048987941282</v>
      </c>
      <c r="Y24" s="12"/>
    </row>
    <row r="25" spans="1:30" s="2" customFormat="1" ht="18.75" customHeight="1" x14ac:dyDescent="0.2">
      <c r="A25" s="115">
        <v>19</v>
      </c>
      <c r="B25" s="45" t="s">
        <v>11</v>
      </c>
      <c r="C25" s="44"/>
      <c r="D25" s="76">
        <f>SUM(D26:D26)</f>
        <v>1139109069.6500001</v>
      </c>
      <c r="E25" s="76">
        <f>SUM(E26:E26)</f>
        <v>433662544.66000003</v>
      </c>
      <c r="F25" s="76">
        <f>SUM(F26:F26)</f>
        <v>705446524.99000001</v>
      </c>
      <c r="G25" s="126">
        <f t="shared" si="6"/>
        <v>1.6267176717857521</v>
      </c>
      <c r="H25" s="46">
        <v>29</v>
      </c>
      <c r="I25" s="45" t="s">
        <v>10</v>
      </c>
      <c r="J25" s="44"/>
      <c r="K25" s="76">
        <f>SUM(K26:K28)</f>
        <v>20918841994.43</v>
      </c>
      <c r="L25" s="76">
        <f t="shared" ref="L25:M25" si="8">SUM(L26:L28)</f>
        <v>4991457574.6700001</v>
      </c>
      <c r="M25" s="76">
        <f t="shared" si="8"/>
        <v>15927384419.76</v>
      </c>
      <c r="N25" s="112">
        <f>+M25/L25</f>
        <v>3.1909285377053429</v>
      </c>
      <c r="P25" s="11" t="e">
        <f>+#REF!/$D$9*100</f>
        <v>#REF!</v>
      </c>
      <c r="R25" s="11"/>
      <c r="S25" s="11"/>
      <c r="Z25" s="12"/>
    </row>
    <row r="26" spans="1:30" s="2" customFormat="1" ht="24.75" customHeight="1" x14ac:dyDescent="0.2">
      <c r="A26" s="117">
        <v>1906</v>
      </c>
      <c r="B26" s="77" t="s">
        <v>8</v>
      </c>
      <c r="C26" s="70"/>
      <c r="D26" s="197">
        <v>1139109069.6500001</v>
      </c>
      <c r="E26" s="197">
        <v>433662544.66000003</v>
      </c>
      <c r="F26" s="75">
        <f>+D26-E26</f>
        <v>705446524.99000001</v>
      </c>
      <c r="G26" s="127">
        <f t="shared" si="6"/>
        <v>1.6267176717857521</v>
      </c>
      <c r="H26" s="47">
        <v>2902</v>
      </c>
      <c r="I26" s="77" t="s">
        <v>104</v>
      </c>
      <c r="J26" s="69"/>
      <c r="K26" s="197">
        <v>15059453150.34</v>
      </c>
      <c r="L26" s="197">
        <v>1540561649.1500001</v>
      </c>
      <c r="M26" s="75">
        <f>+K26-L26</f>
        <v>13518891501.190001</v>
      </c>
      <c r="N26" s="113">
        <f>+M26/L26</f>
        <v>8.7753005591493238</v>
      </c>
      <c r="R26" s="11"/>
      <c r="S26" s="11"/>
    </row>
    <row r="27" spans="1:30" s="2" customFormat="1" ht="23.25" customHeight="1" x14ac:dyDescent="0.2">
      <c r="A27" s="117"/>
      <c r="B27" s="77"/>
      <c r="C27" s="70"/>
      <c r="D27" s="197"/>
      <c r="E27" s="197"/>
      <c r="F27" s="75"/>
      <c r="G27" s="127"/>
      <c r="H27" s="42">
        <v>2910</v>
      </c>
      <c r="I27" s="77" t="s">
        <v>12</v>
      </c>
      <c r="J27" s="69"/>
      <c r="K27" s="197">
        <v>3829228705.1999998</v>
      </c>
      <c r="L27" s="197">
        <v>2157725042.1599998</v>
      </c>
      <c r="M27" s="75">
        <f>+K27-L27</f>
        <v>1671503663.04</v>
      </c>
      <c r="N27" s="113">
        <f>+M27/L27</f>
        <v>0.77466017698285328</v>
      </c>
      <c r="R27" s="11"/>
      <c r="S27" s="11"/>
    </row>
    <row r="28" spans="1:30" s="2" customFormat="1" ht="21.95" customHeight="1" x14ac:dyDescent="0.2">
      <c r="A28" s="110"/>
      <c r="B28" s="41" t="s">
        <v>80</v>
      </c>
      <c r="C28" s="44"/>
      <c r="D28" s="128">
        <f>D29+D32+D47+D49</f>
        <v>334264727931.76996</v>
      </c>
      <c r="E28" s="128">
        <f>E29+E32+E47+E49</f>
        <v>291175465054.25006</v>
      </c>
      <c r="F28" s="128">
        <f>F29+F32+F47+F49</f>
        <v>43089262877.520004</v>
      </c>
      <c r="G28" s="129">
        <f>+F28/E28</f>
        <v>0.14798383809395435</v>
      </c>
      <c r="H28" s="42" t="s">
        <v>155</v>
      </c>
      <c r="I28" s="77" t="s">
        <v>156</v>
      </c>
      <c r="J28" s="69"/>
      <c r="K28" s="197">
        <v>2030160138.8900001</v>
      </c>
      <c r="L28" s="197">
        <v>1293170883.3599999</v>
      </c>
      <c r="M28" s="75">
        <f>+K28-L28</f>
        <v>736989255.53000021</v>
      </c>
      <c r="N28" s="113">
        <f>+M28/L28</f>
        <v>0.56990863698934147</v>
      </c>
      <c r="R28" s="11"/>
      <c r="S28" s="11">
        <f>+K25/$K$35*100</f>
        <v>3912.8304460532768</v>
      </c>
    </row>
    <row r="29" spans="1:30" s="2" customFormat="1" ht="21" customHeight="1" x14ac:dyDescent="0.2">
      <c r="A29" s="115">
        <v>13</v>
      </c>
      <c r="B29" s="45" t="s">
        <v>73</v>
      </c>
      <c r="C29" s="44"/>
      <c r="D29" s="76">
        <f>SUM(D30:D31)</f>
        <v>463180.73999999464</v>
      </c>
      <c r="E29" s="76">
        <f>SUM(E30:E31)</f>
        <v>5317633.880000025</v>
      </c>
      <c r="F29" s="76">
        <f>SUM(F30:F31)</f>
        <v>-4854453.1400000304</v>
      </c>
      <c r="G29" s="126">
        <f>+F29/E29</f>
        <v>-0.91289721134393098</v>
      </c>
      <c r="H29" s="42"/>
      <c r="I29" s="77"/>
      <c r="J29" s="69"/>
      <c r="K29" s="75"/>
      <c r="L29" s="75"/>
      <c r="M29" s="75"/>
      <c r="N29" s="113"/>
      <c r="R29" s="11"/>
      <c r="S29" s="11"/>
    </row>
    <row r="30" spans="1:30" s="2" customFormat="1" ht="25.5" customHeight="1" x14ac:dyDescent="0.2">
      <c r="A30" s="117">
        <v>1385</v>
      </c>
      <c r="B30" s="77" t="s">
        <v>158</v>
      </c>
      <c r="C30" s="69"/>
      <c r="D30" s="75">
        <v>100426376</v>
      </c>
      <c r="E30" s="197">
        <v>174691771.30000001</v>
      </c>
      <c r="F30" s="75">
        <f t="shared" ref="F30:F31" si="9">+D30-E30</f>
        <v>-74265395.300000012</v>
      </c>
      <c r="G30" s="127">
        <f t="shared" ref="G30:G31" si="10">+F30/E30</f>
        <v>-0.4251224585299056</v>
      </c>
      <c r="H30" s="42"/>
      <c r="I30" s="41"/>
      <c r="J30" s="44"/>
      <c r="K30" s="76"/>
      <c r="L30" s="76"/>
      <c r="M30" s="76"/>
      <c r="N30" s="112"/>
      <c r="P30" s="11"/>
      <c r="R30" s="11"/>
      <c r="S30" s="11"/>
    </row>
    <row r="31" spans="1:30" s="2" customFormat="1" ht="24" customHeight="1" x14ac:dyDescent="0.2">
      <c r="A31" s="117">
        <v>1386</v>
      </c>
      <c r="B31" s="77" t="s">
        <v>76</v>
      </c>
      <c r="C31" s="69"/>
      <c r="D31" s="197">
        <v>-99963195.260000005</v>
      </c>
      <c r="E31" s="197">
        <v>-169374137.41999999</v>
      </c>
      <c r="F31" s="75">
        <f t="shared" si="9"/>
        <v>69410942.159999982</v>
      </c>
      <c r="G31" s="127">
        <f t="shared" si="10"/>
        <v>-0.40980838761634819</v>
      </c>
      <c r="H31" s="47"/>
      <c r="I31" s="77"/>
      <c r="J31" s="69"/>
      <c r="K31" s="75"/>
      <c r="L31" s="75"/>
      <c r="M31" s="75"/>
      <c r="N31" s="113"/>
      <c r="P31" s="11" t="e">
        <f>+#REF!/$D$9*100</f>
        <v>#REF!</v>
      </c>
      <c r="R31" s="11"/>
      <c r="S31" s="11"/>
    </row>
    <row r="32" spans="1:30" s="2" customFormat="1" ht="17.25" customHeight="1" x14ac:dyDescent="0.2">
      <c r="A32" s="115">
        <v>16</v>
      </c>
      <c r="B32" s="46" t="s">
        <v>81</v>
      </c>
      <c r="C32" s="44"/>
      <c r="D32" s="76">
        <f>SUM(D33:D46)</f>
        <v>332358796862.87994</v>
      </c>
      <c r="E32" s="76">
        <f t="shared" ref="E32:F32" si="11">SUM(E33:E46)</f>
        <v>289048761677.05005</v>
      </c>
      <c r="F32" s="76">
        <f t="shared" si="11"/>
        <v>43310035185.830002</v>
      </c>
      <c r="G32" s="126">
        <f>+F32/E32</f>
        <v>0.14983643221492043</v>
      </c>
      <c r="H32" s="42"/>
      <c r="I32" s="41" t="s">
        <v>105</v>
      </c>
      <c r="J32" s="131"/>
      <c r="K32" s="128">
        <f>+K34+K37</f>
        <v>609966839.38999999</v>
      </c>
      <c r="L32" s="128">
        <f t="shared" ref="L32:M32" si="12">+L34+L37</f>
        <v>507393963</v>
      </c>
      <c r="M32" s="128">
        <f t="shared" si="12"/>
        <v>102572876.38999999</v>
      </c>
      <c r="N32" s="130">
        <f>+M32/L32</f>
        <v>0.20215628066114769</v>
      </c>
      <c r="P32" s="11"/>
      <c r="S32" s="11"/>
    </row>
    <row r="33" spans="1:26" s="2" customFormat="1" ht="16.5" customHeight="1" x14ac:dyDescent="0.2">
      <c r="A33" s="117">
        <v>1605</v>
      </c>
      <c r="B33" s="42" t="s">
        <v>14</v>
      </c>
      <c r="C33" s="69"/>
      <c r="D33" s="75">
        <v>268587060279.28</v>
      </c>
      <c r="E33" s="197">
        <v>238583643185.28</v>
      </c>
      <c r="F33" s="75">
        <f t="shared" ref="F33:F46" si="13">+D33-E33</f>
        <v>30003417094</v>
      </c>
      <c r="G33" s="127">
        <f t="shared" ref="G33:G43" si="14">+F33/E33</f>
        <v>0.12575638754371715</v>
      </c>
      <c r="H33" s="47"/>
      <c r="I33" s="77"/>
      <c r="J33" s="69"/>
      <c r="K33" s="75"/>
      <c r="L33" s="75"/>
      <c r="M33" s="75"/>
      <c r="N33" s="113"/>
      <c r="R33" s="11"/>
    </row>
    <row r="34" spans="1:26" s="2" customFormat="1" ht="21.75" customHeight="1" x14ac:dyDescent="0.2">
      <c r="A34" s="117">
        <v>1615</v>
      </c>
      <c r="B34" s="77" t="s">
        <v>82</v>
      </c>
      <c r="C34" s="156"/>
      <c r="D34" s="75">
        <v>249733128.78</v>
      </c>
      <c r="E34" s="197">
        <v>249733128.78</v>
      </c>
      <c r="F34" s="75">
        <f t="shared" si="13"/>
        <v>0</v>
      </c>
      <c r="G34" s="127">
        <f t="shared" si="14"/>
        <v>0</v>
      </c>
      <c r="H34" s="46">
        <v>25</v>
      </c>
      <c r="I34" s="91" t="s">
        <v>101</v>
      </c>
      <c r="J34" s="44"/>
      <c r="K34" s="76">
        <f>SUM(K35:K36)</f>
        <v>534621734.38999999</v>
      </c>
      <c r="L34" s="76">
        <f>SUM(L35:L36)</f>
        <v>448258063</v>
      </c>
      <c r="M34" s="76">
        <f>SUM(M35:M36)</f>
        <v>86363671.389999986</v>
      </c>
      <c r="N34" s="112">
        <f>+M34/L34</f>
        <v>0.19266507067827129</v>
      </c>
      <c r="P34" s="11"/>
      <c r="S34" s="11"/>
    </row>
    <row r="35" spans="1:26" s="2" customFormat="1" ht="24" customHeight="1" x14ac:dyDescent="0.2">
      <c r="A35" s="117">
        <v>1635</v>
      </c>
      <c r="B35" s="77" t="s">
        <v>16</v>
      </c>
      <c r="C35" s="156"/>
      <c r="D35" s="197">
        <v>157713554.62</v>
      </c>
      <c r="E35" s="197">
        <v>8426351</v>
      </c>
      <c r="F35" s="75">
        <f t="shared" si="13"/>
        <v>149287203.62</v>
      </c>
      <c r="G35" s="127">
        <f t="shared" si="14"/>
        <v>17.716708409132256</v>
      </c>
      <c r="H35" s="47">
        <v>2512</v>
      </c>
      <c r="I35" s="77" t="s">
        <v>106</v>
      </c>
      <c r="J35" s="69"/>
      <c r="K35" s="197">
        <v>534621734.38999999</v>
      </c>
      <c r="L35" s="197">
        <v>448258063</v>
      </c>
      <c r="M35" s="75">
        <f>+K35-L35</f>
        <v>86363671.389999986</v>
      </c>
      <c r="N35" s="113">
        <f>+M35/L35</f>
        <v>0.19266507067827129</v>
      </c>
      <c r="R35" s="11" t="e">
        <f>+#REF!/$K$35*100</f>
        <v>#REF!</v>
      </c>
      <c r="S35" s="11"/>
    </row>
    <row r="36" spans="1:26" s="2" customFormat="1" ht="23.25" customHeight="1" x14ac:dyDescent="0.2">
      <c r="A36" s="117">
        <v>1637</v>
      </c>
      <c r="B36" s="77" t="s">
        <v>83</v>
      </c>
      <c r="C36" s="156"/>
      <c r="D36" s="197">
        <v>359818144.76999998</v>
      </c>
      <c r="E36" s="197">
        <v>88638080</v>
      </c>
      <c r="F36" s="75">
        <f t="shared" si="13"/>
        <v>271180064.76999998</v>
      </c>
      <c r="G36" s="127">
        <f t="shared" si="14"/>
        <v>3.0594081547118348</v>
      </c>
      <c r="H36" s="150"/>
      <c r="I36" s="77"/>
      <c r="J36" s="69"/>
      <c r="K36" s="75"/>
      <c r="L36" s="75"/>
      <c r="M36" s="75"/>
      <c r="N36" s="113"/>
      <c r="R36" s="11"/>
      <c r="S36" s="11"/>
    </row>
    <row r="37" spans="1:26" s="2" customFormat="1" ht="16.5" customHeight="1" x14ac:dyDescent="0.2">
      <c r="A37" s="117">
        <v>1640</v>
      </c>
      <c r="B37" s="77" t="s">
        <v>17</v>
      </c>
      <c r="C37" s="69"/>
      <c r="D37" s="75">
        <v>59024909680.839996</v>
      </c>
      <c r="E37" s="197">
        <v>45764095273.839996</v>
      </c>
      <c r="F37" s="75">
        <f t="shared" si="13"/>
        <v>13260814407</v>
      </c>
      <c r="G37" s="127">
        <f t="shared" si="14"/>
        <v>0.28976459225624074</v>
      </c>
      <c r="H37" s="46">
        <v>27</v>
      </c>
      <c r="I37" s="45" t="s">
        <v>103</v>
      </c>
      <c r="J37" s="44"/>
      <c r="K37" s="76">
        <f>+K38</f>
        <v>75345105</v>
      </c>
      <c r="L37" s="76">
        <f>+L38</f>
        <v>59135900</v>
      </c>
      <c r="M37" s="76">
        <f>SUM(M38:M39)</f>
        <v>16209205</v>
      </c>
      <c r="N37" s="112">
        <f>+M37/L37</f>
        <v>0.27410092684815823</v>
      </c>
      <c r="R37" s="11"/>
      <c r="S37" s="11"/>
    </row>
    <row r="38" spans="1:26" s="2" customFormat="1" ht="16.5" customHeight="1" x14ac:dyDescent="0.2">
      <c r="A38" s="117">
        <v>1655</v>
      </c>
      <c r="B38" s="77" t="s">
        <v>19</v>
      </c>
      <c r="C38" s="156"/>
      <c r="D38" s="197">
        <v>2110883872.7</v>
      </c>
      <c r="E38" s="197">
        <v>1927647414.9000001</v>
      </c>
      <c r="F38" s="75">
        <f t="shared" si="13"/>
        <v>183236457.79999995</v>
      </c>
      <c r="G38" s="127">
        <f t="shared" si="14"/>
        <v>9.5057040195032583E-2</v>
      </c>
      <c r="H38" s="47">
        <v>2701</v>
      </c>
      <c r="I38" s="77" t="s">
        <v>28</v>
      </c>
      <c r="J38" s="69"/>
      <c r="K38" s="75">
        <v>75345105</v>
      </c>
      <c r="L38" s="197">
        <v>59135900</v>
      </c>
      <c r="M38" s="75">
        <f>+K38-L38</f>
        <v>16209205</v>
      </c>
      <c r="N38" s="113">
        <f>+M38/L38</f>
        <v>0.27410092684815823</v>
      </c>
      <c r="P38" s="40" t="e">
        <f>+#REF!/#REF!*100</f>
        <v>#REF!</v>
      </c>
      <c r="R38" s="11"/>
      <c r="S38" s="11"/>
      <c r="Z38" s="12"/>
    </row>
    <row r="39" spans="1:26" s="2" customFormat="1" ht="18" customHeight="1" x14ac:dyDescent="0.2">
      <c r="A39" s="117">
        <v>1660</v>
      </c>
      <c r="B39" s="77" t="s">
        <v>84</v>
      </c>
      <c r="C39" s="156"/>
      <c r="D39" s="197">
        <v>2510550964.46</v>
      </c>
      <c r="E39" s="197">
        <v>2527931594.46</v>
      </c>
      <c r="F39" s="75">
        <f t="shared" si="13"/>
        <v>-17380630</v>
      </c>
      <c r="G39" s="127">
        <f t="shared" si="14"/>
        <v>-6.8754352523185003E-3</v>
      </c>
      <c r="H39" s="42"/>
      <c r="I39" s="42"/>
      <c r="J39" s="69"/>
      <c r="K39" s="75"/>
      <c r="L39" s="75"/>
      <c r="M39" s="75"/>
      <c r="N39" s="113"/>
      <c r="R39" s="11"/>
    </row>
    <row r="40" spans="1:26" s="2" customFormat="1" ht="24.95" customHeight="1" x14ac:dyDescent="0.2">
      <c r="A40" s="117">
        <v>1665</v>
      </c>
      <c r="B40" s="77" t="s">
        <v>85</v>
      </c>
      <c r="C40" s="156"/>
      <c r="D40" s="197">
        <v>2192249401.29</v>
      </c>
      <c r="E40" s="197">
        <v>1145459638.23</v>
      </c>
      <c r="F40" s="75">
        <f t="shared" si="13"/>
        <v>1046789763.0599999</v>
      </c>
      <c r="G40" s="127">
        <f t="shared" si="14"/>
        <v>0.91386001577282305</v>
      </c>
      <c r="H40" s="42"/>
      <c r="I40" s="41" t="s">
        <v>13</v>
      </c>
      <c r="J40" s="44"/>
      <c r="K40" s="128">
        <f>+K9+K32</f>
        <v>38908049323.169998</v>
      </c>
      <c r="L40" s="128">
        <f t="shared" ref="L40:M40" si="15">+L9+L32</f>
        <v>22374383915.540001</v>
      </c>
      <c r="M40" s="128">
        <f t="shared" si="15"/>
        <v>16533665407.629999</v>
      </c>
      <c r="N40" s="130">
        <f>+M40/L40</f>
        <v>0.73895511358177046</v>
      </c>
      <c r="P40" s="40">
        <f>+D32/D54*100</f>
        <v>54.023229522318793</v>
      </c>
      <c r="R40" s="11"/>
      <c r="S40" s="11"/>
    </row>
    <row r="41" spans="1:26" s="2" customFormat="1" ht="24" customHeight="1" x14ac:dyDescent="0.2">
      <c r="A41" s="117">
        <v>1670</v>
      </c>
      <c r="B41" s="77" t="s">
        <v>86</v>
      </c>
      <c r="C41" s="156"/>
      <c r="D41" s="197">
        <v>12940428591.959999</v>
      </c>
      <c r="E41" s="197">
        <v>12062606656.030001</v>
      </c>
      <c r="F41" s="75">
        <f t="shared" si="13"/>
        <v>877821935.9299984</v>
      </c>
      <c r="G41" s="127">
        <f t="shared" si="14"/>
        <v>7.2772159530807734E-2</v>
      </c>
      <c r="H41" s="42"/>
      <c r="I41" s="41"/>
      <c r="J41" s="44"/>
      <c r="K41" s="183"/>
      <c r="L41" s="183"/>
      <c r="M41" s="183"/>
      <c r="N41" s="184"/>
      <c r="P41" s="11">
        <f>+D33/$D$32*100</f>
        <v>80.812381924131827</v>
      </c>
      <c r="R41" s="11"/>
      <c r="S41" s="11"/>
    </row>
    <row r="42" spans="1:26" s="2" customFormat="1" ht="24" customHeight="1" x14ac:dyDescent="0.2">
      <c r="A42" s="117">
        <v>1675</v>
      </c>
      <c r="B42" s="77" t="s">
        <v>87</v>
      </c>
      <c r="C42" s="156"/>
      <c r="D42" s="197">
        <v>1929741121</v>
      </c>
      <c r="E42" s="197">
        <v>1929741121</v>
      </c>
      <c r="F42" s="75">
        <f t="shared" si="13"/>
        <v>0</v>
      </c>
      <c r="G42" s="127">
        <f t="shared" si="14"/>
        <v>0</v>
      </c>
      <c r="H42" s="42"/>
      <c r="I42" s="41"/>
      <c r="J42" s="44"/>
      <c r="K42" s="76"/>
      <c r="L42" s="76"/>
      <c r="M42" s="76"/>
      <c r="N42" s="112"/>
      <c r="P42" s="11"/>
      <c r="R42" s="11"/>
      <c r="S42" s="11"/>
    </row>
    <row r="43" spans="1:26" s="2" customFormat="1" ht="21.95" customHeight="1" x14ac:dyDescent="0.2">
      <c r="A43" s="117">
        <v>1680</v>
      </c>
      <c r="B43" s="77" t="s">
        <v>88</v>
      </c>
      <c r="C43" s="156"/>
      <c r="D43" s="197">
        <v>670432676.19000006</v>
      </c>
      <c r="E43" s="197">
        <v>421976175.43000001</v>
      </c>
      <c r="F43" s="75">
        <f t="shared" si="13"/>
        <v>248456500.76000005</v>
      </c>
      <c r="G43" s="127">
        <f t="shared" si="14"/>
        <v>0.58879272154836504</v>
      </c>
      <c r="H43" s="48"/>
      <c r="I43" s="42"/>
      <c r="J43" s="69"/>
      <c r="K43" s="185"/>
      <c r="L43" s="185"/>
      <c r="M43" s="185"/>
      <c r="N43" s="186"/>
      <c r="P43" s="29">
        <f>+D34/$D$32*100</f>
        <v>7.5139617526967836E-2</v>
      </c>
      <c r="Q43" s="11">
        <f>+D32/D54*100</f>
        <v>54.023229522318793</v>
      </c>
      <c r="R43" s="11"/>
      <c r="S43" s="11"/>
    </row>
    <row r="44" spans="1:26" s="2" customFormat="1" ht="20.25" customHeight="1" x14ac:dyDescent="0.2">
      <c r="A44" s="117">
        <v>1681</v>
      </c>
      <c r="B44" s="77" t="s">
        <v>23</v>
      </c>
      <c r="C44" s="156"/>
      <c r="D44" s="197">
        <v>1684710031.6700001</v>
      </c>
      <c r="E44" s="197">
        <v>1425540389.6700001</v>
      </c>
      <c r="F44" s="75">
        <f t="shared" si="13"/>
        <v>259169642</v>
      </c>
      <c r="G44" s="127">
        <f>+F44/E44</f>
        <v>0.18180448893489118</v>
      </c>
      <c r="H44" s="42"/>
      <c r="I44" s="189" t="s">
        <v>15</v>
      </c>
      <c r="J44" s="44"/>
      <c r="K44" s="128">
        <f>+K47</f>
        <v>576306553360.9801</v>
      </c>
      <c r="L44" s="128">
        <f>+L47</f>
        <v>494146369035.01996</v>
      </c>
      <c r="M44" s="128">
        <f>+M47</f>
        <v>82160184325.960007</v>
      </c>
      <c r="N44" s="130">
        <f>+M44/L44</f>
        <v>0.1662668987862933</v>
      </c>
      <c r="R44" s="11"/>
      <c r="S44" s="11"/>
    </row>
    <row r="45" spans="1:26" s="2" customFormat="1" ht="25.5" customHeight="1" x14ac:dyDescent="0.2">
      <c r="A45" s="110">
        <v>1685</v>
      </c>
      <c r="B45" s="77" t="s">
        <v>89</v>
      </c>
      <c r="C45" s="69"/>
      <c r="D45" s="197">
        <v>-19809701455.900002</v>
      </c>
      <c r="E45" s="197">
        <v>-17086677331.57</v>
      </c>
      <c r="F45" s="75">
        <f t="shared" si="13"/>
        <v>-2723024124.3300018</v>
      </c>
      <c r="G45" s="127">
        <f>+F45/E45</f>
        <v>0.1593653389415178</v>
      </c>
      <c r="H45" s="48"/>
      <c r="I45" s="42"/>
      <c r="J45" s="69"/>
      <c r="K45" s="76"/>
      <c r="L45" s="76"/>
      <c r="M45" s="76"/>
      <c r="N45" s="118"/>
      <c r="P45" s="11"/>
      <c r="R45" s="11"/>
      <c r="S45" s="11"/>
    </row>
    <row r="46" spans="1:26" s="2" customFormat="1" ht="25.5" customHeight="1" x14ac:dyDescent="0.2">
      <c r="A46" s="110">
        <v>1695</v>
      </c>
      <c r="B46" s="77" t="s">
        <v>189</v>
      </c>
      <c r="C46" s="69"/>
      <c r="D46" s="75">
        <v>-249733128.78</v>
      </c>
      <c r="E46" s="197">
        <v>0</v>
      </c>
      <c r="F46" s="75">
        <f t="shared" si="13"/>
        <v>-249733128.78</v>
      </c>
      <c r="G46" s="188" t="s">
        <v>6</v>
      </c>
      <c r="H46" s="48"/>
      <c r="I46" s="42"/>
      <c r="J46" s="69"/>
      <c r="K46" s="76"/>
      <c r="L46" s="76"/>
      <c r="M46" s="76"/>
      <c r="N46" s="118"/>
      <c r="P46" s="11"/>
      <c r="R46" s="11"/>
      <c r="S46" s="11"/>
    </row>
    <row r="47" spans="1:26" s="2" customFormat="1" ht="33.75" x14ac:dyDescent="0.2">
      <c r="A47" s="115">
        <v>17</v>
      </c>
      <c r="B47" s="141" t="s">
        <v>21</v>
      </c>
      <c r="C47" s="44"/>
      <c r="D47" s="76">
        <f>+D48</f>
        <v>46206747.32</v>
      </c>
      <c r="E47" s="76">
        <f>+E48</f>
        <v>46206747.32</v>
      </c>
      <c r="F47" s="76">
        <f>+F48</f>
        <v>0</v>
      </c>
      <c r="G47" s="126">
        <f>+F47/E47</f>
        <v>0</v>
      </c>
      <c r="H47" s="46">
        <v>31</v>
      </c>
      <c r="I47" s="141" t="s">
        <v>116</v>
      </c>
      <c r="J47" s="44"/>
      <c r="K47" s="76">
        <f>SUM(K48:K51)</f>
        <v>576306553360.9801</v>
      </c>
      <c r="L47" s="76">
        <f>SUM(L48:L51)</f>
        <v>494146369035.01996</v>
      </c>
      <c r="M47" s="76">
        <f>SUM(M48:M51)</f>
        <v>82160184325.960007</v>
      </c>
      <c r="N47" s="112">
        <f t="shared" ref="N47:N49" si="16">+M47/L47</f>
        <v>0.1662668987862933</v>
      </c>
      <c r="P47" s="11">
        <f>+D36/$D$32*100</f>
        <v>0.10826195911355668</v>
      </c>
      <c r="R47" s="11">
        <f>+K41/$K$38*100</f>
        <v>0</v>
      </c>
      <c r="S47" s="11"/>
    </row>
    <row r="48" spans="1:26" s="2" customFormat="1" ht="20.25" customHeight="1" x14ac:dyDescent="0.2">
      <c r="A48" s="117">
        <v>1715</v>
      </c>
      <c r="B48" s="49" t="s">
        <v>22</v>
      </c>
      <c r="C48" s="70"/>
      <c r="D48" s="75">
        <v>46206747.32</v>
      </c>
      <c r="E48" s="75">
        <v>46206747.32</v>
      </c>
      <c r="F48" s="75">
        <f>+D48-E48</f>
        <v>0</v>
      </c>
      <c r="G48" s="127">
        <f>+F48/E48</f>
        <v>0</v>
      </c>
      <c r="H48" s="47">
        <v>3105</v>
      </c>
      <c r="I48" s="77" t="s">
        <v>18</v>
      </c>
      <c r="J48" s="69"/>
      <c r="K48" s="75">
        <v>44239962579.480003</v>
      </c>
      <c r="L48" s="197">
        <v>44239962579.480003</v>
      </c>
      <c r="M48" s="75">
        <f>+K48-L48</f>
        <v>0</v>
      </c>
      <c r="N48" s="113">
        <f>+M48/L48</f>
        <v>0</v>
      </c>
      <c r="P48" s="29">
        <f>+D37/$D$32*100</f>
        <v>17.759394436967977</v>
      </c>
      <c r="R48" s="11">
        <f>+K44/$K$38*100</f>
        <v>764889.17675671179</v>
      </c>
      <c r="S48" s="11"/>
    </row>
    <row r="49" spans="1:26" s="2" customFormat="1" ht="21.95" customHeight="1" x14ac:dyDescent="0.2">
      <c r="A49" s="115">
        <v>19</v>
      </c>
      <c r="B49" s="45" t="s">
        <v>11</v>
      </c>
      <c r="C49" s="44"/>
      <c r="D49" s="76">
        <f>SUM(D50:D53)</f>
        <v>1859261140.8299999</v>
      </c>
      <c r="E49" s="76">
        <f>SUM(E50:E53)</f>
        <v>2075178996</v>
      </c>
      <c r="F49" s="76">
        <f>SUM(F50:F53)</f>
        <v>-215917855.16999999</v>
      </c>
      <c r="G49" s="126">
        <f t="shared" ref="G49" si="17">+F49/E49</f>
        <v>-0.10404782218121486</v>
      </c>
      <c r="H49" s="47">
        <v>3109</v>
      </c>
      <c r="I49" s="77" t="s">
        <v>117</v>
      </c>
      <c r="J49" s="69"/>
      <c r="K49" s="197">
        <v>508654632194.31</v>
      </c>
      <c r="L49" s="197">
        <v>429391274570.94</v>
      </c>
      <c r="M49" s="75">
        <f>+K49-L49</f>
        <v>79263357623.369995</v>
      </c>
      <c r="N49" s="113">
        <f t="shared" si="16"/>
        <v>0.1845947095747863</v>
      </c>
      <c r="P49" s="11">
        <f>+D39/$D$32*100</f>
        <v>0.75537370701692874</v>
      </c>
      <c r="R49" s="11">
        <f>+K45/$K$38*100</f>
        <v>0</v>
      </c>
      <c r="S49" s="11"/>
    </row>
    <row r="50" spans="1:26" s="2" customFormat="1" ht="24" customHeight="1" x14ac:dyDescent="0.2">
      <c r="A50" s="117">
        <v>1905</v>
      </c>
      <c r="B50" s="77" t="s">
        <v>190</v>
      </c>
      <c r="C50" s="69"/>
      <c r="D50" s="197">
        <v>110208166.59999999</v>
      </c>
      <c r="E50" s="75">
        <v>0</v>
      </c>
      <c r="F50" s="75">
        <f>+D50-E50</f>
        <v>110208166.59999999</v>
      </c>
      <c r="G50" s="188" t="s">
        <v>6</v>
      </c>
      <c r="H50" s="47">
        <v>3110</v>
      </c>
      <c r="I50" s="77" t="s">
        <v>20</v>
      </c>
      <c r="J50" s="69"/>
      <c r="K50" s="75">
        <f>+'EST RESUL MARZO 2025-2024'!D77</f>
        <v>23411958587.190006</v>
      </c>
      <c r="L50" s="75">
        <f>+'EST RESUL MARZO 2025-2024'!E77</f>
        <v>20515131884.599998</v>
      </c>
      <c r="M50" s="75">
        <f>+K50-L50</f>
        <v>2896826702.5900078</v>
      </c>
      <c r="N50" s="113">
        <f>+M50/L50</f>
        <v>0.14120439092885168</v>
      </c>
      <c r="P50" s="11">
        <f>+D40/$D$32*100</f>
        <v>0.6596032426349312</v>
      </c>
      <c r="R50" s="11" t="e">
        <f>+#REF!/$K$38*100</f>
        <v>#REF!</v>
      </c>
      <c r="S50" s="11"/>
    </row>
    <row r="51" spans="1:26" s="2" customFormat="1" ht="24.75" customHeight="1" x14ac:dyDescent="0.2">
      <c r="A51" s="117">
        <v>1909</v>
      </c>
      <c r="B51" s="77" t="s">
        <v>90</v>
      </c>
      <c r="C51" s="69"/>
      <c r="D51" s="197">
        <v>1263704</v>
      </c>
      <c r="E51" s="197">
        <v>1263704</v>
      </c>
      <c r="F51" s="75">
        <f>+D51-E51</f>
        <v>0</v>
      </c>
      <c r="G51" s="127">
        <f>+F51/E51</f>
        <v>0</v>
      </c>
      <c r="H51" s="47"/>
      <c r="I51" s="77"/>
      <c r="J51" s="69"/>
      <c r="K51" s="75"/>
      <c r="L51" s="75"/>
      <c r="M51" s="75"/>
      <c r="N51" s="113"/>
      <c r="P51" s="29">
        <f>+D41/$D$32*100</f>
        <v>3.893511684993487</v>
      </c>
      <c r="R51" s="11"/>
      <c r="S51" s="11"/>
    </row>
    <row r="52" spans="1:26" s="2" customFormat="1" ht="18.75" customHeight="1" x14ac:dyDescent="0.2">
      <c r="A52" s="117">
        <v>1970</v>
      </c>
      <c r="B52" s="77" t="s">
        <v>91</v>
      </c>
      <c r="C52" s="69"/>
      <c r="D52" s="197">
        <v>3214036864.6700001</v>
      </c>
      <c r="E52" s="197">
        <v>3163011364.6700001</v>
      </c>
      <c r="F52" s="75">
        <f>+D52-E52</f>
        <v>51025500</v>
      </c>
      <c r="G52" s="127">
        <f t="shared" ref="G52:G53" si="18">+F52/E52</f>
        <v>1.6131936979405553E-2</v>
      </c>
      <c r="H52" s="42"/>
      <c r="I52" s="42"/>
      <c r="J52" s="69"/>
      <c r="K52" s="75"/>
      <c r="L52" s="75"/>
      <c r="M52" s="75"/>
      <c r="N52" s="118"/>
      <c r="P52" s="11">
        <f>+D42/$D$32*100</f>
        <v>0.58061984193430149</v>
      </c>
      <c r="R52" s="11"/>
      <c r="S52" s="11"/>
      <c r="Y52" s="12"/>
    </row>
    <row r="53" spans="1:26" s="2" customFormat="1" ht="24.75" customHeight="1" x14ac:dyDescent="0.2">
      <c r="A53" s="110">
        <v>1975</v>
      </c>
      <c r="B53" s="77" t="s">
        <v>92</v>
      </c>
      <c r="C53" s="69"/>
      <c r="D53" s="197">
        <v>-1466247594.4400001</v>
      </c>
      <c r="E53" s="197">
        <v>-1089096072.6700001</v>
      </c>
      <c r="F53" s="75">
        <f>+D53-E53</f>
        <v>-377151521.76999998</v>
      </c>
      <c r="G53" s="127">
        <f t="shared" si="18"/>
        <v>0.34629775208479541</v>
      </c>
      <c r="H53" s="42"/>
      <c r="I53" s="42"/>
      <c r="J53" s="69"/>
      <c r="K53" s="75"/>
      <c r="L53" s="75"/>
      <c r="M53" s="75"/>
      <c r="N53" s="118"/>
      <c r="P53" s="11">
        <f>+D43/$D$32*100</f>
        <v>0.20171955203779307</v>
      </c>
      <c r="R53" s="11"/>
      <c r="S53" s="11"/>
      <c r="Y53" s="12"/>
      <c r="Z53" s="12"/>
    </row>
    <row r="54" spans="1:26" s="2" customFormat="1" ht="27" customHeight="1" thickBot="1" x14ac:dyDescent="0.25">
      <c r="A54" s="134"/>
      <c r="B54" s="135" t="s">
        <v>24</v>
      </c>
      <c r="C54" s="136"/>
      <c r="D54" s="137">
        <f>+D9+D28</f>
        <v>615214602684.1499</v>
      </c>
      <c r="E54" s="137">
        <f>+E9+E28</f>
        <v>529361674031.47009</v>
      </c>
      <c r="F54" s="137">
        <f>+F9+F28</f>
        <v>85852928652.679977</v>
      </c>
      <c r="G54" s="138">
        <f>+F54/E54</f>
        <v>0.16218198797591096</v>
      </c>
      <c r="H54" s="139"/>
      <c r="I54" s="135" t="s">
        <v>25</v>
      </c>
      <c r="J54" s="136"/>
      <c r="K54" s="137">
        <f>+K40+K44</f>
        <v>615214602684.15015</v>
      </c>
      <c r="L54" s="137">
        <f>+L40+L44</f>
        <v>516520752950.55994</v>
      </c>
      <c r="M54" s="137">
        <f>+M40+M44</f>
        <v>98693849733.590012</v>
      </c>
      <c r="N54" s="140">
        <f>+M54/L54</f>
        <v>0.19107431631703817</v>
      </c>
      <c r="R54" s="11"/>
      <c r="S54" s="11"/>
      <c r="Y54" s="12"/>
      <c r="Z54" s="12"/>
    </row>
    <row r="55" spans="1:26" s="2" customFormat="1" ht="27" customHeight="1" x14ac:dyDescent="0.2">
      <c r="A55" s="145">
        <v>8</v>
      </c>
      <c r="B55" s="142" t="s">
        <v>26</v>
      </c>
      <c r="C55" s="143"/>
      <c r="D55" s="144">
        <f>+D56+D63+D59</f>
        <v>0</v>
      </c>
      <c r="E55" s="144">
        <f>+E56+E63+E59</f>
        <v>0</v>
      </c>
      <c r="F55" s="144">
        <f>+F56+F63+F59</f>
        <v>0</v>
      </c>
      <c r="G55" s="169">
        <v>0</v>
      </c>
      <c r="H55" s="170">
        <v>9</v>
      </c>
      <c r="I55" s="157" t="s">
        <v>27</v>
      </c>
      <c r="J55" s="143"/>
      <c r="K55" s="144">
        <f>+K56+K60+K63</f>
        <v>0</v>
      </c>
      <c r="L55" s="144">
        <f>+L56+L60+L63</f>
        <v>0</v>
      </c>
      <c r="M55" s="144">
        <f>+M56+M60+M63</f>
        <v>0</v>
      </c>
      <c r="N55" s="146">
        <v>0</v>
      </c>
      <c r="Q55" s="11" t="e">
        <f>+#REF!/D54*100</f>
        <v>#REF!</v>
      </c>
      <c r="R55" s="11"/>
      <c r="S55" s="11"/>
    </row>
    <row r="56" spans="1:26" s="2" customFormat="1" ht="20.25" customHeight="1" x14ac:dyDescent="0.2">
      <c r="A56" s="115">
        <v>81</v>
      </c>
      <c r="B56" s="41" t="s">
        <v>107</v>
      </c>
      <c r="C56" s="44"/>
      <c r="D56" s="76">
        <f>SUM(D57:D58)</f>
        <v>671914851</v>
      </c>
      <c r="E56" s="76">
        <f t="shared" ref="E56:F56" si="19">SUM(E57:E58)</f>
        <v>1130850259.28</v>
      </c>
      <c r="F56" s="76">
        <f t="shared" si="19"/>
        <v>-458935408.27999997</v>
      </c>
      <c r="G56" s="168">
        <f>+F56/E56</f>
        <v>-0.40583216435056496</v>
      </c>
      <c r="H56" s="171">
        <v>91</v>
      </c>
      <c r="I56" s="45" t="s">
        <v>111</v>
      </c>
      <c r="J56" s="44"/>
      <c r="K56" s="76">
        <f>SUM(K57:K59)</f>
        <v>6278411497.7600002</v>
      </c>
      <c r="L56" s="76">
        <f>SUM(L57:L59)</f>
        <v>4735993978.1300001</v>
      </c>
      <c r="M56" s="76">
        <f>SUM(M57:M59)</f>
        <v>1542417519.6300001</v>
      </c>
      <c r="N56" s="112">
        <f>+M56/L56</f>
        <v>0.32567978902689004</v>
      </c>
      <c r="R56" s="11"/>
      <c r="S56" s="11"/>
    </row>
    <row r="57" spans="1:26" s="2" customFormat="1" ht="21.75" customHeight="1" x14ac:dyDescent="0.2">
      <c r="A57" s="114">
        <v>8120</v>
      </c>
      <c r="B57" s="77" t="s">
        <v>108</v>
      </c>
      <c r="C57" s="69"/>
      <c r="D57" s="75">
        <v>13544742</v>
      </c>
      <c r="E57" s="197">
        <v>13544742</v>
      </c>
      <c r="F57" s="75">
        <f>+D57-E57</f>
        <v>0</v>
      </c>
      <c r="G57" s="163">
        <f>+F57/E57</f>
        <v>0</v>
      </c>
      <c r="H57" s="166">
        <v>9120</v>
      </c>
      <c r="I57" s="77" t="s">
        <v>108</v>
      </c>
      <c r="J57" s="69"/>
      <c r="K57" s="197">
        <v>0</v>
      </c>
      <c r="L57" s="197">
        <v>258091886</v>
      </c>
      <c r="M57" s="75">
        <f>+K57-L57</f>
        <v>-258091886</v>
      </c>
      <c r="N57" s="113">
        <f t="shared" ref="N57:N61" si="20">+M57/L57</f>
        <v>-1</v>
      </c>
      <c r="O57" s="12"/>
      <c r="Q57" s="12"/>
      <c r="R57" s="11"/>
      <c r="S57" s="11"/>
    </row>
    <row r="58" spans="1:26" s="2" customFormat="1" ht="24" customHeight="1" x14ac:dyDescent="0.2">
      <c r="A58" s="114">
        <v>8190</v>
      </c>
      <c r="B58" s="77" t="s">
        <v>109</v>
      </c>
      <c r="C58" s="69"/>
      <c r="D58" s="75">
        <v>658370109</v>
      </c>
      <c r="E58" s="197">
        <v>1117305517.28</v>
      </c>
      <c r="F58" s="75">
        <f>+D58-E58</f>
        <v>-458935408.27999997</v>
      </c>
      <c r="G58" s="163">
        <f>+F58/E58</f>
        <v>-0.4107519395386548</v>
      </c>
      <c r="H58" s="166">
        <v>9128</v>
      </c>
      <c r="I58" s="77" t="s">
        <v>112</v>
      </c>
      <c r="J58" s="69"/>
      <c r="K58" s="75">
        <v>2350109735.7600002</v>
      </c>
      <c r="L58" s="197">
        <v>781853198.13</v>
      </c>
      <c r="M58" s="75">
        <f>+K58-L58</f>
        <v>1568256537.6300001</v>
      </c>
      <c r="N58" s="113">
        <f t="shared" si="20"/>
        <v>2.0058196876100052</v>
      </c>
      <c r="P58" s="12">
        <f>+D54-K54</f>
        <v>0</v>
      </c>
    </row>
    <row r="59" spans="1:26" s="2" customFormat="1" ht="22.5" x14ac:dyDescent="0.2">
      <c r="A59" s="115"/>
      <c r="B59" s="91"/>
      <c r="C59" s="69"/>
      <c r="D59" s="79"/>
      <c r="E59" s="79"/>
      <c r="F59" s="79"/>
      <c r="G59" s="149"/>
      <c r="H59" s="166">
        <v>9190</v>
      </c>
      <c r="I59" s="77" t="s">
        <v>166</v>
      </c>
      <c r="J59" s="69"/>
      <c r="K59" s="75">
        <v>3928301762</v>
      </c>
      <c r="L59" s="197">
        <v>3696048894</v>
      </c>
      <c r="M59" s="75">
        <f>+K59-L59</f>
        <v>232252868</v>
      </c>
      <c r="N59" s="113">
        <f t="shared" si="20"/>
        <v>6.2838148157896095E-2</v>
      </c>
    </row>
    <row r="60" spans="1:26" s="2" customFormat="1" ht="20.25" customHeight="1" x14ac:dyDescent="0.2">
      <c r="A60" s="115"/>
      <c r="B60" s="91"/>
      <c r="C60" s="69"/>
      <c r="D60" s="79"/>
      <c r="E60" s="79"/>
      <c r="F60" s="79"/>
      <c r="G60" s="149"/>
      <c r="H60" s="171">
        <v>93</v>
      </c>
      <c r="I60" s="45" t="s">
        <v>177</v>
      </c>
      <c r="J60" s="44"/>
      <c r="K60" s="76">
        <f>+K61+K62</f>
        <v>10468817000</v>
      </c>
      <c r="L60" s="76">
        <f>+L61+L62</f>
        <v>228810264.18000001</v>
      </c>
      <c r="M60" s="76">
        <f>+M61+M62</f>
        <v>10240006735.82</v>
      </c>
      <c r="N60" s="112">
        <f>+M60/L60</f>
        <v>44.753266522014115</v>
      </c>
    </row>
    <row r="61" spans="1:26" s="2" customFormat="1" ht="21" customHeight="1" x14ac:dyDescent="0.2">
      <c r="A61" s="115"/>
      <c r="B61" s="91"/>
      <c r="C61" s="69"/>
      <c r="D61" s="79"/>
      <c r="E61" s="79"/>
      <c r="F61" s="79"/>
      <c r="G61" s="149"/>
      <c r="H61" s="166">
        <v>9308</v>
      </c>
      <c r="I61" s="77" t="s">
        <v>178</v>
      </c>
      <c r="J61" s="69"/>
      <c r="K61" s="197">
        <v>0</v>
      </c>
      <c r="L61" s="197">
        <v>228810264.18000001</v>
      </c>
      <c r="M61" s="75">
        <f>+K61-L61</f>
        <v>-228810264.18000001</v>
      </c>
      <c r="N61" s="113">
        <f t="shared" si="20"/>
        <v>-1</v>
      </c>
    </row>
    <row r="62" spans="1:26" s="2" customFormat="1" ht="21" customHeight="1" x14ac:dyDescent="0.2">
      <c r="A62" s="115"/>
      <c r="B62" s="91"/>
      <c r="C62" s="69"/>
      <c r="D62" s="79"/>
      <c r="E62" s="79"/>
      <c r="F62" s="79"/>
      <c r="G62" s="149"/>
      <c r="H62" s="166">
        <v>9390</v>
      </c>
      <c r="I62" s="77" t="s">
        <v>193</v>
      </c>
      <c r="J62" s="69"/>
      <c r="K62" s="75">
        <v>10468817000</v>
      </c>
      <c r="L62" s="197">
        <v>0</v>
      </c>
      <c r="M62" s="75">
        <f>+K62-L62</f>
        <v>10468817000</v>
      </c>
      <c r="N62" s="116" t="s">
        <v>6</v>
      </c>
    </row>
    <row r="63" spans="1:26" s="2" customFormat="1" ht="33" customHeight="1" x14ac:dyDescent="0.2">
      <c r="A63" s="115">
        <v>89</v>
      </c>
      <c r="B63" s="45" t="s">
        <v>164</v>
      </c>
      <c r="C63" s="44"/>
      <c r="D63" s="76">
        <f>SUM(D64:D65)</f>
        <v>-671914851</v>
      </c>
      <c r="E63" s="76">
        <f>SUM(E64:E65)</f>
        <v>-1130850259.28</v>
      </c>
      <c r="F63" s="76">
        <f>SUM(F64:F65)</f>
        <v>458935408.27999997</v>
      </c>
      <c r="G63" s="165">
        <f>+F63/E63</f>
        <v>-0.40583216435056496</v>
      </c>
      <c r="H63" s="167">
        <v>99</v>
      </c>
      <c r="I63" s="91" t="s">
        <v>163</v>
      </c>
      <c r="J63" s="44"/>
      <c r="K63" s="79">
        <f>SUM(K64:K65)</f>
        <v>-16747228497.76</v>
      </c>
      <c r="L63" s="79">
        <f>SUM(L64:L65)</f>
        <v>-4964804242.3100004</v>
      </c>
      <c r="M63" s="79">
        <f>SUM(M64:M65)</f>
        <v>-11782424255.450001</v>
      </c>
      <c r="N63" s="172">
        <f>+M63/L63</f>
        <v>2.3731900958028369</v>
      </c>
    </row>
    <row r="64" spans="1:26" s="2" customFormat="1" ht="22.5" x14ac:dyDescent="0.2">
      <c r="A64" s="114">
        <v>8905</v>
      </c>
      <c r="B64" s="77" t="s">
        <v>110</v>
      </c>
      <c r="C64" s="44"/>
      <c r="D64" s="75">
        <v>-671914851</v>
      </c>
      <c r="E64" s="197">
        <v>-1130850259.28</v>
      </c>
      <c r="F64" s="75">
        <f>+D64-E64</f>
        <v>458935408.27999997</v>
      </c>
      <c r="G64" s="173">
        <f>+F64/E64</f>
        <v>-0.40583216435056496</v>
      </c>
      <c r="H64" s="50">
        <v>9905</v>
      </c>
      <c r="I64" s="77" t="s">
        <v>168</v>
      </c>
      <c r="J64" s="44"/>
      <c r="K64" s="75">
        <v>-6278411497.7600002</v>
      </c>
      <c r="L64" s="197">
        <v>-4735993978.1300001</v>
      </c>
      <c r="M64" s="75">
        <f>+K64-L64</f>
        <v>-1542417519.6300001</v>
      </c>
      <c r="N64" s="116">
        <f t="shared" ref="N64:N65" si="21">+M64/L64</f>
        <v>0.32567978902689004</v>
      </c>
      <c r="V64" s="82"/>
    </row>
    <row r="65" spans="1:22" s="2" customFormat="1" ht="22.5" x14ac:dyDescent="0.2">
      <c r="A65" s="114"/>
      <c r="B65" s="77"/>
      <c r="C65" s="69"/>
      <c r="D65" s="80"/>
      <c r="E65" s="80"/>
      <c r="F65" s="75"/>
      <c r="G65" s="174"/>
      <c r="H65" s="50">
        <v>9915</v>
      </c>
      <c r="I65" s="77" t="s">
        <v>171</v>
      </c>
      <c r="J65" s="69"/>
      <c r="K65" s="75">
        <v>-10468817000</v>
      </c>
      <c r="L65" s="197">
        <v>-228810264.18000001</v>
      </c>
      <c r="M65" s="75">
        <f>+K65-L65</f>
        <v>-10240006735.82</v>
      </c>
      <c r="N65" s="116">
        <f t="shared" si="21"/>
        <v>44.753266522014115</v>
      </c>
      <c r="U65" s="82"/>
      <c r="V65" s="82"/>
    </row>
    <row r="66" spans="1:22" x14ac:dyDescent="0.2">
      <c r="A66" s="114"/>
      <c r="B66" s="77"/>
      <c r="C66" s="69"/>
      <c r="D66" s="80"/>
      <c r="E66" s="80"/>
      <c r="F66" s="75"/>
      <c r="G66" s="164"/>
      <c r="H66" s="50"/>
      <c r="I66" s="77"/>
      <c r="J66" s="69"/>
      <c r="K66" s="80"/>
      <c r="L66" s="80"/>
      <c r="M66" s="75"/>
      <c r="N66" s="116"/>
      <c r="O66" s="2"/>
      <c r="P66" s="2"/>
      <c r="Q66" s="2"/>
      <c r="R66" s="2"/>
      <c r="S66" s="2"/>
      <c r="T66" s="2"/>
    </row>
    <row r="67" spans="1:22" ht="42.75" customHeight="1" x14ac:dyDescent="0.2">
      <c r="A67" s="204" t="s">
        <v>200</v>
      </c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6"/>
      <c r="O67" s="2"/>
      <c r="P67" s="2"/>
      <c r="Q67" s="2"/>
      <c r="R67" s="2"/>
      <c r="S67" s="2"/>
      <c r="T67" s="2"/>
    </row>
  </sheetData>
  <mergeCells count="16">
    <mergeCell ref="A67:N67"/>
    <mergeCell ref="A1:N1"/>
    <mergeCell ref="A2:N2"/>
    <mergeCell ref="A3:N3"/>
    <mergeCell ref="A4:N4"/>
    <mergeCell ref="A5:N5"/>
    <mergeCell ref="A6:A7"/>
    <mergeCell ref="B6:B7"/>
    <mergeCell ref="C6:C7"/>
    <mergeCell ref="G6:G7"/>
    <mergeCell ref="H6:H7"/>
    <mergeCell ref="I6:I7"/>
    <mergeCell ref="J6:J7"/>
    <mergeCell ref="N6:N7"/>
    <mergeCell ref="P6:Q6"/>
    <mergeCell ref="R6:S6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4EC1-6B1F-4ABD-82BB-DF4874E28F08}">
  <dimension ref="A1:AD85"/>
  <sheetViews>
    <sheetView topLeftCell="A43" zoomScaleNormal="100" workbookViewId="0">
      <selection activeCell="Y53" sqref="Y53:Z53"/>
    </sheetView>
  </sheetViews>
  <sheetFormatPr baseColWidth="10" defaultColWidth="11.42578125" defaultRowHeight="12.75" x14ac:dyDescent="0.2"/>
  <cols>
    <col min="1" max="1" width="5.140625" style="82" customWidth="1"/>
    <col min="2" max="2" width="25.42578125" style="82" customWidth="1"/>
    <col min="3" max="3" width="1.140625" style="72" customWidth="1"/>
    <col min="4" max="4" width="17.85546875" style="14" customWidth="1"/>
    <col min="5" max="5" width="18.28515625" style="14" customWidth="1"/>
    <col min="6" max="6" width="28" style="14" hidden="1" customWidth="1"/>
    <col min="7" max="7" width="10.85546875" style="14" customWidth="1"/>
    <col min="8" max="8" width="4.42578125" style="82" bestFit="1" customWidth="1"/>
    <col min="9" max="9" width="22.28515625" style="82" customWidth="1"/>
    <col min="10" max="10" width="2" style="72" customWidth="1"/>
    <col min="11" max="11" width="14.42578125" style="21" customWidth="1"/>
    <col min="12" max="12" width="14" style="14" customWidth="1"/>
    <col min="13" max="13" width="13.28515625" style="14" hidden="1" customWidth="1"/>
    <col min="14" max="14" width="7.42578125" style="82" customWidth="1"/>
    <col min="15" max="15" width="6.140625" style="82" hidden="1" customWidth="1"/>
    <col min="16" max="17" width="6.5703125" style="82" hidden="1" customWidth="1"/>
    <col min="18" max="18" width="7.85546875" style="82" hidden="1" customWidth="1"/>
    <col min="19" max="19" width="7" style="82" hidden="1" customWidth="1"/>
    <col min="20" max="22" width="11.42578125" style="82" hidden="1" customWidth="1"/>
    <col min="23" max="23" width="7.85546875" style="82" customWidth="1"/>
    <col min="24" max="24" width="4.85546875" style="82" customWidth="1"/>
    <col min="25" max="16384" width="11.42578125" style="82"/>
  </cols>
  <sheetData>
    <row r="1" spans="1:25" s="1" customFormat="1" ht="18" x14ac:dyDescent="0.25">
      <c r="A1" s="212" t="s">
        <v>174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</row>
    <row r="2" spans="1:25" s="1" customFormat="1" ht="18" x14ac:dyDescent="0.25">
      <c r="A2" s="215" t="s">
        <v>167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</row>
    <row r="3" spans="1:25" s="1" customFormat="1" ht="18" x14ac:dyDescent="0.25">
      <c r="A3" s="215" t="s">
        <v>173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1:25" s="1" customFormat="1" ht="18" x14ac:dyDescent="0.25">
      <c r="A4" s="215" t="s">
        <v>186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7"/>
    </row>
    <row r="5" spans="1:25" s="1" customFormat="1" ht="18" x14ac:dyDescent="0.25">
      <c r="A5" s="218" t="s">
        <v>68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</row>
    <row r="6" spans="1:25" s="2" customFormat="1" ht="14.25" customHeight="1" x14ac:dyDescent="0.2">
      <c r="A6" s="221" t="s">
        <v>0</v>
      </c>
      <c r="B6" s="222" t="s">
        <v>38</v>
      </c>
      <c r="C6" s="222"/>
      <c r="D6" s="94">
        <v>2023</v>
      </c>
      <c r="E6" s="94">
        <v>2023</v>
      </c>
      <c r="F6" s="44" t="s">
        <v>2</v>
      </c>
      <c r="G6" s="223" t="s">
        <v>151</v>
      </c>
      <c r="H6" s="224" t="s">
        <v>0</v>
      </c>
      <c r="I6" s="222" t="s">
        <v>38</v>
      </c>
      <c r="J6" s="222"/>
      <c r="K6" s="94">
        <v>2023</v>
      </c>
      <c r="L6" s="94">
        <v>2023</v>
      </c>
      <c r="M6" s="44" t="s">
        <v>2</v>
      </c>
      <c r="N6" s="225" t="s">
        <v>151</v>
      </c>
      <c r="P6" s="201" t="s">
        <v>1</v>
      </c>
      <c r="Q6" s="201"/>
      <c r="R6" s="201" t="s">
        <v>4</v>
      </c>
      <c r="S6" s="201"/>
    </row>
    <row r="7" spans="1:25" s="2" customFormat="1" ht="12" customHeight="1" x14ac:dyDescent="0.2">
      <c r="A7" s="221"/>
      <c r="B7" s="222"/>
      <c r="C7" s="222"/>
      <c r="D7" s="94" t="s">
        <v>181</v>
      </c>
      <c r="E7" s="94" t="s">
        <v>185</v>
      </c>
      <c r="F7" s="44" t="s">
        <v>5</v>
      </c>
      <c r="G7" s="223"/>
      <c r="H7" s="224"/>
      <c r="I7" s="222"/>
      <c r="J7" s="222"/>
      <c r="K7" s="94" t="s">
        <v>181</v>
      </c>
      <c r="L7" s="94" t="s">
        <v>185</v>
      </c>
      <c r="M7" s="44" t="s">
        <v>5</v>
      </c>
      <c r="N7" s="225"/>
    </row>
    <row r="8" spans="1:25" s="2" customFormat="1" ht="15.75" customHeight="1" x14ac:dyDescent="0.2">
      <c r="A8" s="110"/>
      <c r="B8" s="189" t="s">
        <v>1</v>
      </c>
      <c r="C8" s="44"/>
      <c r="D8" s="90"/>
      <c r="E8" s="90"/>
      <c r="F8" s="90"/>
      <c r="G8" s="125"/>
      <c r="H8" s="42"/>
      <c r="I8" s="189" t="s">
        <v>3</v>
      </c>
      <c r="J8" s="44"/>
      <c r="K8" s="20"/>
      <c r="L8" s="43"/>
      <c r="M8" s="43"/>
      <c r="N8" s="111"/>
    </row>
    <row r="9" spans="1:25" s="2" customFormat="1" ht="21.75" customHeight="1" x14ac:dyDescent="0.2">
      <c r="A9" s="110"/>
      <c r="B9" s="41" t="s">
        <v>69</v>
      </c>
      <c r="C9" s="44"/>
      <c r="D9" s="128">
        <f>+D10+D14+D16+D22+D26</f>
        <v>218866696567.09</v>
      </c>
      <c r="E9" s="128">
        <f>+E10+E14+E16+E22+E26</f>
        <v>199397644018.56</v>
      </c>
      <c r="F9" s="128">
        <f>+F10+F14+F16+F22+F26</f>
        <v>19469052548.530006</v>
      </c>
      <c r="G9" s="129">
        <f t="shared" ref="G9:G16" si="0">+F9/E9</f>
        <v>9.7639330917660291E-2</v>
      </c>
      <c r="H9" s="42"/>
      <c r="I9" s="41" t="s">
        <v>93</v>
      </c>
      <c r="J9" s="44"/>
      <c r="K9" s="128">
        <f>+K10+K18+K21+K25</f>
        <v>26433978148.950001</v>
      </c>
      <c r="L9" s="128">
        <f>+L10+L18+L21+L25</f>
        <v>21529313828.98</v>
      </c>
      <c r="M9" s="128">
        <f>+M10+M18+M21+M25</f>
        <v>4904664319.9699993</v>
      </c>
      <c r="N9" s="130">
        <f>+M9/L9</f>
        <v>0.22781331346324515</v>
      </c>
      <c r="P9" s="33">
        <f>+D9/D9*100</f>
        <v>100</v>
      </c>
      <c r="Q9" s="40">
        <f>+D9/D53*100</f>
        <v>44.122907804592288</v>
      </c>
    </row>
    <row r="10" spans="1:25" s="2" customFormat="1" ht="26.25" customHeight="1" x14ac:dyDescent="0.2">
      <c r="A10" s="115">
        <v>11</v>
      </c>
      <c r="B10" s="141" t="s">
        <v>70</v>
      </c>
      <c r="C10" s="44"/>
      <c r="D10" s="76">
        <f>SUM(D11:D13)</f>
        <v>79067163216.919998</v>
      </c>
      <c r="E10" s="76">
        <f>SUM(E11:E13)</f>
        <v>27292106293.780003</v>
      </c>
      <c r="F10" s="76">
        <f>SUM(F11:F13)</f>
        <v>51775056923.139992</v>
      </c>
      <c r="G10" s="126">
        <f t="shared" si="0"/>
        <v>1.8970707634588015</v>
      </c>
      <c r="H10" s="46">
        <v>24</v>
      </c>
      <c r="I10" s="45" t="s">
        <v>94</v>
      </c>
      <c r="J10" s="44"/>
      <c r="K10" s="76">
        <f>SUM(K11:K16)</f>
        <v>2739936246.6800003</v>
      </c>
      <c r="L10" s="76">
        <f>SUM(L11:L16)</f>
        <v>4284261318.6599998</v>
      </c>
      <c r="M10" s="76">
        <f>SUM(M11:M16)</f>
        <v>-1544325071.98</v>
      </c>
      <c r="N10" s="112">
        <f t="shared" ref="N10:N14" si="1">+M10/L10</f>
        <v>-0.36046472358110565</v>
      </c>
    </row>
    <row r="11" spans="1:25" s="2" customFormat="1" ht="24.75" customHeight="1" x14ac:dyDescent="0.2">
      <c r="A11" s="110">
        <v>1105</v>
      </c>
      <c r="B11" s="77" t="s">
        <v>176</v>
      </c>
      <c r="C11" s="69"/>
      <c r="D11" s="75">
        <v>589493398</v>
      </c>
      <c r="E11" s="75">
        <v>589493398</v>
      </c>
      <c r="F11" s="75">
        <f>+D11-E11</f>
        <v>0</v>
      </c>
      <c r="G11" s="127">
        <f t="shared" si="0"/>
        <v>0</v>
      </c>
      <c r="H11" s="47">
        <v>2401</v>
      </c>
      <c r="I11" s="77" t="s">
        <v>95</v>
      </c>
      <c r="J11" s="69"/>
      <c r="K11" s="75">
        <v>771084752.23000002</v>
      </c>
      <c r="L11" s="75">
        <v>1608084745.5</v>
      </c>
      <c r="M11" s="75">
        <f>+K11-L11</f>
        <v>-836999993.26999998</v>
      </c>
      <c r="N11" s="113">
        <f t="shared" si="1"/>
        <v>-0.52049495252798539</v>
      </c>
    </row>
    <row r="12" spans="1:25" s="2" customFormat="1" ht="26.25" customHeight="1" x14ac:dyDescent="0.2">
      <c r="A12" s="110">
        <v>1110</v>
      </c>
      <c r="B12" s="77" t="s">
        <v>71</v>
      </c>
      <c r="C12" s="69"/>
      <c r="D12" s="75">
        <v>78082832997.139999</v>
      </c>
      <c r="E12" s="75">
        <v>22125009902.990002</v>
      </c>
      <c r="F12" s="75">
        <f>+D12-E12</f>
        <v>55957823094.149994</v>
      </c>
      <c r="G12" s="127">
        <f t="shared" si="0"/>
        <v>2.5291660134618872</v>
      </c>
      <c r="H12" s="47">
        <v>2407</v>
      </c>
      <c r="I12" s="77" t="s">
        <v>96</v>
      </c>
      <c r="J12" s="69"/>
      <c r="K12" s="75">
        <v>12480803</v>
      </c>
      <c r="L12" s="75">
        <v>67237888</v>
      </c>
      <c r="M12" s="75">
        <f t="shared" ref="M12:M16" si="2">+K12-L12</f>
        <v>-54757085</v>
      </c>
      <c r="N12" s="113">
        <f t="shared" si="1"/>
        <v>-0.81437842009552708</v>
      </c>
      <c r="P12" s="11">
        <f>+D10/$D$9*100</f>
        <v>36.125716912204254</v>
      </c>
      <c r="S12" s="11">
        <f>+K10/$K$35*100</f>
        <v>611.90860787579368</v>
      </c>
    </row>
    <row r="13" spans="1:25" s="2" customFormat="1" ht="18" customHeight="1" x14ac:dyDescent="0.2">
      <c r="A13" s="110">
        <v>1133</v>
      </c>
      <c r="B13" s="42" t="s">
        <v>72</v>
      </c>
      <c r="C13" s="69"/>
      <c r="D13" s="75">
        <v>394836821.77999997</v>
      </c>
      <c r="E13" s="75">
        <v>4577602992.79</v>
      </c>
      <c r="F13" s="75">
        <f>+D13-E13</f>
        <v>-4182766171.0100002</v>
      </c>
      <c r="G13" s="127">
        <f t="shared" si="0"/>
        <v>-0.91374594467849413</v>
      </c>
      <c r="H13" s="47">
        <v>2424</v>
      </c>
      <c r="I13" s="77" t="s">
        <v>97</v>
      </c>
      <c r="J13" s="69"/>
      <c r="K13" s="75">
        <v>1114168764</v>
      </c>
      <c r="L13" s="75">
        <v>1789813259</v>
      </c>
      <c r="M13" s="75">
        <f t="shared" si="2"/>
        <v>-675644495</v>
      </c>
      <c r="N13" s="113">
        <f t="shared" si="1"/>
        <v>-0.37749440708551596</v>
      </c>
      <c r="P13" s="11">
        <f>+D18/$D$9*100</f>
        <v>3.1343279300134085E-4</v>
      </c>
      <c r="R13" s="11">
        <f>+K11/$K$10*100</f>
        <v>28.142434086352509</v>
      </c>
      <c r="S13" s="11"/>
    </row>
    <row r="14" spans="1:25" s="2" customFormat="1" ht="28.15" customHeight="1" x14ac:dyDescent="0.2">
      <c r="A14" s="115">
        <v>12</v>
      </c>
      <c r="B14" s="141" t="s">
        <v>179</v>
      </c>
      <c r="C14" s="69"/>
      <c r="D14" s="76">
        <f>+D15</f>
        <v>111614969158.99001</v>
      </c>
      <c r="E14" s="76">
        <f>+E15</f>
        <v>144458317661.98999</v>
      </c>
      <c r="F14" s="76">
        <f>+F15</f>
        <v>-32843348502.999985</v>
      </c>
      <c r="G14" s="126">
        <f t="shared" si="0"/>
        <v>-0.22735519168822327</v>
      </c>
      <c r="H14" s="47">
        <v>2436</v>
      </c>
      <c r="I14" s="77" t="s">
        <v>98</v>
      </c>
      <c r="J14" s="69"/>
      <c r="K14" s="75">
        <v>131003405</v>
      </c>
      <c r="L14" s="75">
        <v>302838410</v>
      </c>
      <c r="M14" s="75">
        <f t="shared" si="2"/>
        <v>-171835005</v>
      </c>
      <c r="N14" s="113">
        <f t="shared" si="1"/>
        <v>-0.56741483023900441</v>
      </c>
      <c r="P14" s="11"/>
      <c r="R14" s="11"/>
      <c r="S14" s="11"/>
      <c r="Y14" s="12"/>
    </row>
    <row r="15" spans="1:25" s="2" customFormat="1" ht="36" customHeight="1" x14ac:dyDescent="0.2">
      <c r="A15" s="110">
        <v>1223</v>
      </c>
      <c r="B15" s="77" t="s">
        <v>180</v>
      </c>
      <c r="C15" s="69"/>
      <c r="D15" s="75">
        <v>111614969158.99001</v>
      </c>
      <c r="E15" s="75">
        <v>144458317661.98999</v>
      </c>
      <c r="F15" s="75">
        <f t="shared" ref="F15" si="3">+D15-E15</f>
        <v>-32843348502.999985</v>
      </c>
      <c r="G15" s="127">
        <f t="shared" si="0"/>
        <v>-0.22735519168822327</v>
      </c>
      <c r="H15" s="47">
        <v>2440</v>
      </c>
      <c r="I15" s="77" t="s">
        <v>99</v>
      </c>
      <c r="J15" s="69"/>
      <c r="K15" s="75">
        <v>9898000</v>
      </c>
      <c r="L15" s="75">
        <v>6109000</v>
      </c>
      <c r="M15" s="75">
        <f t="shared" si="2"/>
        <v>3789000</v>
      </c>
      <c r="N15" s="113">
        <f>+M15/L15</f>
        <v>0.62023244393517762</v>
      </c>
      <c r="P15" s="11"/>
      <c r="R15" s="11">
        <f>+K12/$K$10*100</f>
        <v>0.45551435786592026</v>
      </c>
      <c r="S15" s="11"/>
    </row>
    <row r="16" spans="1:25" s="2" customFormat="1" ht="20.25" customHeight="1" x14ac:dyDescent="0.2">
      <c r="A16" s="115">
        <v>13</v>
      </c>
      <c r="B16" s="45" t="s">
        <v>73</v>
      </c>
      <c r="C16" s="44"/>
      <c r="D16" s="76">
        <f>SUM(D17:D21)</f>
        <v>14031521778.879999</v>
      </c>
      <c r="E16" s="76">
        <f>SUM(E17:E21)</f>
        <v>26566911498.68</v>
      </c>
      <c r="F16" s="76">
        <f>SUM(F17:F21)</f>
        <v>-12535389719.800001</v>
      </c>
      <c r="G16" s="126">
        <f t="shared" si="0"/>
        <v>-0.47184219062960453</v>
      </c>
      <c r="H16" s="42">
        <v>2490</v>
      </c>
      <c r="I16" s="42" t="s">
        <v>100</v>
      </c>
      <c r="J16" s="69"/>
      <c r="K16" s="75">
        <v>701300522.45000005</v>
      </c>
      <c r="L16" s="75">
        <v>510178016.16000003</v>
      </c>
      <c r="M16" s="75">
        <f t="shared" si="2"/>
        <v>191122506.29000002</v>
      </c>
      <c r="N16" s="113">
        <f t="shared" ref="N16" si="4">+M16/L16</f>
        <v>0.37461925099897075</v>
      </c>
      <c r="P16" s="11">
        <f>+D20/$D$9*100</f>
        <v>0.22810865641541855</v>
      </c>
      <c r="R16" s="11">
        <f>+K13/$K$10*100</f>
        <v>40.664039732677942</v>
      </c>
      <c r="S16" s="11"/>
    </row>
    <row r="17" spans="1:30" s="2" customFormat="1" ht="9.75" customHeight="1" x14ac:dyDescent="0.2">
      <c r="A17" s="114"/>
      <c r="B17" s="77"/>
      <c r="C17" s="69"/>
      <c r="D17" s="75"/>
      <c r="E17" s="75"/>
      <c r="F17" s="75"/>
      <c r="G17" s="127"/>
      <c r="H17" s="42"/>
      <c r="I17" s="77"/>
      <c r="J17" s="69"/>
      <c r="K17" s="75"/>
      <c r="L17" s="75"/>
      <c r="M17" s="75"/>
      <c r="N17" s="116"/>
      <c r="P17" s="11">
        <f>+D22/$D$20*100</f>
        <v>84.044298596219264</v>
      </c>
      <c r="R17" s="11">
        <f>+K15/$K$10*100</f>
        <v>0.36124928132884387</v>
      </c>
      <c r="S17" s="11"/>
    </row>
    <row r="18" spans="1:30" s="2" customFormat="1" ht="26.25" customHeight="1" x14ac:dyDescent="0.2">
      <c r="A18" s="114">
        <v>1316</v>
      </c>
      <c r="B18" s="77" t="s">
        <v>7</v>
      </c>
      <c r="C18" s="69"/>
      <c r="D18" s="75">
        <v>686000</v>
      </c>
      <c r="E18" s="75">
        <v>111000</v>
      </c>
      <c r="F18" s="75">
        <f t="shared" ref="F18:F21" si="5">+D18-E18</f>
        <v>575000</v>
      </c>
      <c r="G18" s="127">
        <f>+F18/E18</f>
        <v>5.1801801801801801</v>
      </c>
      <c r="H18" s="46">
        <v>25</v>
      </c>
      <c r="I18" s="141" t="s">
        <v>101</v>
      </c>
      <c r="J18" s="44"/>
      <c r="K18" s="76">
        <f>+K19</f>
        <v>14269185742.34</v>
      </c>
      <c r="L18" s="76">
        <f>+L19</f>
        <v>11138762432.6</v>
      </c>
      <c r="M18" s="76">
        <f>+M19</f>
        <v>3130423309.7399998</v>
      </c>
      <c r="N18" s="112">
        <f>+M18/L18</f>
        <v>0.28103869964747052</v>
      </c>
      <c r="P18" s="11"/>
      <c r="R18" s="11">
        <f>+K16/$K$10*100</f>
        <v>25.595505125338985</v>
      </c>
      <c r="S18" s="11">
        <f>+K16/$K$35*100</f>
        <v>156.62109909123922</v>
      </c>
    </row>
    <row r="19" spans="1:30" s="2" customFormat="1" ht="33" customHeight="1" x14ac:dyDescent="0.2">
      <c r="A19" s="117">
        <v>1317</v>
      </c>
      <c r="B19" s="77" t="s">
        <v>74</v>
      </c>
      <c r="C19" s="69"/>
      <c r="D19" s="75">
        <v>13512108864</v>
      </c>
      <c r="E19" s="75">
        <v>12470078751</v>
      </c>
      <c r="F19" s="75">
        <f t="shared" si="5"/>
        <v>1042030113</v>
      </c>
      <c r="G19" s="127">
        <f>+F19/E19</f>
        <v>8.3562432427817468E-2</v>
      </c>
      <c r="H19" s="49">
        <v>2511</v>
      </c>
      <c r="I19" s="77" t="s">
        <v>102</v>
      </c>
      <c r="J19" s="69"/>
      <c r="K19" s="75">
        <v>14269185742.34</v>
      </c>
      <c r="L19" s="75">
        <v>11138762432.6</v>
      </c>
      <c r="M19" s="75">
        <f>+K19-L19</f>
        <v>3130423309.7399998</v>
      </c>
      <c r="N19" s="113">
        <f>+M19/L19</f>
        <v>0.28103869964747052</v>
      </c>
      <c r="R19" s="11" t="e">
        <f>+#REF!/$K$10*100</f>
        <v>#REF!</v>
      </c>
      <c r="S19" s="11"/>
    </row>
    <row r="20" spans="1:30" s="2" customFormat="1" ht="20.25" customHeight="1" x14ac:dyDescent="0.2">
      <c r="A20" s="117">
        <v>1337</v>
      </c>
      <c r="B20" s="77" t="s">
        <v>161</v>
      </c>
      <c r="C20" s="69"/>
      <c r="D20" s="75">
        <v>499253880.88</v>
      </c>
      <c r="E20" s="75">
        <v>14081225176.68</v>
      </c>
      <c r="F20" s="75">
        <f t="shared" si="5"/>
        <v>-13581971295.800001</v>
      </c>
      <c r="G20" s="127">
        <f>+F20/E20</f>
        <v>-0.96454471293401256</v>
      </c>
      <c r="H20" s="42"/>
      <c r="I20" s="42"/>
      <c r="J20" s="69"/>
      <c r="K20" s="75"/>
      <c r="L20" s="75"/>
      <c r="M20" s="75"/>
      <c r="N20" s="118"/>
      <c r="S20" s="11"/>
      <c r="X20" s="47"/>
      <c r="Y20" s="12"/>
      <c r="AD20" s="127"/>
    </row>
    <row r="21" spans="1:30" s="2" customFormat="1" ht="21.75" customHeight="1" x14ac:dyDescent="0.2">
      <c r="A21" s="117">
        <v>1384</v>
      </c>
      <c r="B21" s="77" t="s">
        <v>75</v>
      </c>
      <c r="C21" s="69"/>
      <c r="D21" s="75">
        <v>19473034</v>
      </c>
      <c r="E21" s="75">
        <v>15496571</v>
      </c>
      <c r="F21" s="75">
        <f t="shared" si="5"/>
        <v>3976463</v>
      </c>
      <c r="G21" s="127">
        <f t="shared" ref="G21:G27" si="6">+F21/E21</f>
        <v>0.25660276715410141</v>
      </c>
      <c r="H21" s="46">
        <v>27</v>
      </c>
      <c r="I21" s="45" t="s">
        <v>103</v>
      </c>
      <c r="J21" s="44"/>
      <c r="K21" s="76">
        <f>SUM(K22:K23)</f>
        <v>220057233</v>
      </c>
      <c r="L21" s="76">
        <f>SUM(L22:L23)</f>
        <v>613984513</v>
      </c>
      <c r="M21" s="76">
        <f>SUM(M22:M23)</f>
        <v>-393927280</v>
      </c>
      <c r="N21" s="112">
        <f>+M21/L21</f>
        <v>-0.64159155753819475</v>
      </c>
      <c r="P21" s="11" t="e">
        <f>+#REF!/$D$20*100</f>
        <v>#REF!</v>
      </c>
      <c r="Q21" s="11"/>
      <c r="R21" s="11"/>
      <c r="S21" s="11">
        <f>+K18/$K$35*100</f>
        <v>3186.7301999075112</v>
      </c>
      <c r="X21" s="47"/>
      <c r="Y21" s="12"/>
      <c r="AD21" s="127"/>
    </row>
    <row r="22" spans="1:30" s="2" customFormat="1" ht="18" customHeight="1" x14ac:dyDescent="0.2">
      <c r="A22" s="115">
        <v>15</v>
      </c>
      <c r="B22" s="45" t="s">
        <v>77</v>
      </c>
      <c r="C22" s="44"/>
      <c r="D22" s="76">
        <f>SUM(D23:D25)</f>
        <v>419594422.40000004</v>
      </c>
      <c r="E22" s="76">
        <f>SUM(E23:E25)</f>
        <v>504820872.71999997</v>
      </c>
      <c r="F22" s="76">
        <f>SUM(F23:F25)</f>
        <v>-85226450.320000008</v>
      </c>
      <c r="G22" s="126">
        <f t="shared" si="6"/>
        <v>-0.16882513169630972</v>
      </c>
      <c r="H22" s="47">
        <v>2701</v>
      </c>
      <c r="I22" s="77" t="s">
        <v>28</v>
      </c>
      <c r="J22" s="69"/>
      <c r="K22" s="75">
        <v>220057233</v>
      </c>
      <c r="L22" s="75">
        <v>613984513</v>
      </c>
      <c r="M22" s="75">
        <f>+K22-L22</f>
        <v>-393927280</v>
      </c>
      <c r="N22" s="113">
        <f>+M22/L22</f>
        <v>-0.64159155753819475</v>
      </c>
      <c r="P22" s="11">
        <f>+D23/$D$20*100</f>
        <v>24.512730980535991</v>
      </c>
      <c r="R22" s="11"/>
      <c r="S22" s="11"/>
    </row>
    <row r="23" spans="1:30" s="2" customFormat="1" ht="19.5" customHeight="1" x14ac:dyDescent="0.2">
      <c r="A23" s="117">
        <v>1510</v>
      </c>
      <c r="B23" s="77" t="s">
        <v>78</v>
      </c>
      <c r="C23" s="69"/>
      <c r="D23" s="75">
        <v>122380760.73</v>
      </c>
      <c r="E23" s="75">
        <v>135161289.28</v>
      </c>
      <c r="F23" s="75">
        <f>+D23-E23</f>
        <v>-12780528.549999997</v>
      </c>
      <c r="G23" s="127">
        <f t="shared" si="6"/>
        <v>-9.4557610526515956E-2</v>
      </c>
      <c r="H23" s="47"/>
      <c r="I23" s="77"/>
      <c r="J23" s="70"/>
      <c r="K23" s="75"/>
      <c r="L23" s="75"/>
      <c r="M23" s="75"/>
      <c r="N23" s="113"/>
      <c r="P23" s="11">
        <f>+D24/$D$20*100</f>
        <v>58.883477478798042</v>
      </c>
      <c r="R23" s="11"/>
      <c r="S23" s="11"/>
    </row>
    <row r="24" spans="1:30" s="2" customFormat="1" ht="20.25" customHeight="1" x14ac:dyDescent="0.2">
      <c r="A24" s="117">
        <v>1514</v>
      </c>
      <c r="B24" s="77" t="s">
        <v>79</v>
      </c>
      <c r="C24" s="69"/>
      <c r="D24" s="75">
        <v>293978046.50999999</v>
      </c>
      <c r="E24" s="75">
        <v>366267819.25</v>
      </c>
      <c r="F24" s="75">
        <f>+D24-E24</f>
        <v>-72289772.74000001</v>
      </c>
      <c r="G24" s="127">
        <f t="shared" si="6"/>
        <v>-0.197368616462201</v>
      </c>
      <c r="H24" s="48"/>
      <c r="I24" s="49"/>
      <c r="J24" s="70"/>
      <c r="K24" s="75"/>
      <c r="L24" s="75"/>
      <c r="M24" s="75"/>
      <c r="N24" s="113"/>
      <c r="P24" s="11"/>
      <c r="R24" s="11"/>
      <c r="S24" s="11">
        <f>+K21/$K$35*100</f>
        <v>49.145273092098932</v>
      </c>
      <c r="Y24" s="12"/>
    </row>
    <row r="25" spans="1:30" s="2" customFormat="1" ht="18.75" customHeight="1" x14ac:dyDescent="0.2">
      <c r="A25" s="110">
        <v>1530</v>
      </c>
      <c r="B25" s="42" t="s">
        <v>9</v>
      </c>
      <c r="C25" s="69"/>
      <c r="D25" s="75">
        <v>3235615.16</v>
      </c>
      <c r="E25" s="75">
        <v>3391764.19</v>
      </c>
      <c r="F25" s="75">
        <f t="shared" ref="F25" si="7">+D25-E25</f>
        <v>-156149.0299999998</v>
      </c>
      <c r="G25" s="127">
        <f t="shared" si="6"/>
        <v>-4.6037702284957432E-2</v>
      </c>
      <c r="H25" s="46">
        <v>29</v>
      </c>
      <c r="I25" s="45" t="s">
        <v>10</v>
      </c>
      <c r="J25" s="44"/>
      <c r="K25" s="76">
        <f>SUM(K26:K28)</f>
        <v>9204798926.9300003</v>
      </c>
      <c r="L25" s="76">
        <f t="shared" ref="L25:M25" si="8">SUM(L26:L28)</f>
        <v>5492305564.7200003</v>
      </c>
      <c r="M25" s="76">
        <f t="shared" si="8"/>
        <v>3712493362.21</v>
      </c>
      <c r="N25" s="112">
        <f>+M25/L25</f>
        <v>0.67594443143464544</v>
      </c>
      <c r="P25" s="11" t="e">
        <f>+#REF!/$D$9*100</f>
        <v>#REF!</v>
      </c>
      <c r="R25" s="11"/>
      <c r="S25" s="11"/>
      <c r="Z25" s="12"/>
    </row>
    <row r="26" spans="1:30" s="2" customFormat="1" ht="24.75" customHeight="1" x14ac:dyDescent="0.2">
      <c r="A26" s="115">
        <v>19</v>
      </c>
      <c r="B26" s="45" t="s">
        <v>11</v>
      </c>
      <c r="C26" s="44"/>
      <c r="D26" s="76">
        <f>SUM(D27:D27)</f>
        <v>13733447989.9</v>
      </c>
      <c r="E26" s="76">
        <f>SUM(E27:E27)</f>
        <v>575487691.38999999</v>
      </c>
      <c r="F26" s="76">
        <f>SUM(F27:F27)</f>
        <v>13157960298.51</v>
      </c>
      <c r="G26" s="126">
        <f t="shared" si="6"/>
        <v>22.864016894486515</v>
      </c>
      <c r="H26" s="47">
        <v>2902</v>
      </c>
      <c r="I26" s="77" t="s">
        <v>104</v>
      </c>
      <c r="J26" s="69"/>
      <c r="K26" s="75">
        <v>2593713637.71</v>
      </c>
      <c r="L26" s="75">
        <v>2188104290.2800002</v>
      </c>
      <c r="M26" s="75">
        <f>+K26-L26</f>
        <v>405609347.42999983</v>
      </c>
      <c r="N26" s="113">
        <f>+M26/L26</f>
        <v>0.18537020800690268</v>
      </c>
      <c r="R26" s="11"/>
      <c r="S26" s="11"/>
    </row>
    <row r="27" spans="1:30" s="2" customFormat="1" ht="23.25" customHeight="1" x14ac:dyDescent="0.2">
      <c r="A27" s="117">
        <v>1906</v>
      </c>
      <c r="B27" s="77" t="s">
        <v>8</v>
      </c>
      <c r="C27" s="70"/>
      <c r="D27" s="75">
        <v>13733447989.9</v>
      </c>
      <c r="E27" s="75">
        <v>575487691.38999999</v>
      </c>
      <c r="F27" s="75">
        <f>+D27-E27</f>
        <v>13157960298.51</v>
      </c>
      <c r="G27" s="127">
        <f t="shared" si="6"/>
        <v>22.864016894486515</v>
      </c>
      <c r="H27" s="42">
        <v>2910</v>
      </c>
      <c r="I27" s="77" t="s">
        <v>12</v>
      </c>
      <c r="J27" s="69"/>
      <c r="K27" s="75">
        <v>4561029807</v>
      </c>
      <c r="L27" s="75">
        <v>1461746055</v>
      </c>
      <c r="M27" s="75">
        <f>+K27-L27</f>
        <v>3099283752</v>
      </c>
      <c r="N27" s="113">
        <f>+M27/L27</f>
        <v>2.1202614102488546</v>
      </c>
      <c r="R27" s="11"/>
      <c r="S27" s="11"/>
    </row>
    <row r="28" spans="1:30" s="2" customFormat="1" ht="21.95" customHeight="1" x14ac:dyDescent="0.2">
      <c r="A28" s="110"/>
      <c r="B28" s="41" t="s">
        <v>80</v>
      </c>
      <c r="C28" s="44"/>
      <c r="D28" s="128">
        <f>D29+D32+D46+D48</f>
        <v>277171999559.62006</v>
      </c>
      <c r="E28" s="128">
        <f>E29+E32+E46+E48</f>
        <v>277502690903.98004</v>
      </c>
      <c r="F28" s="128">
        <f>F29+F32+F46+F48</f>
        <v>-330691344.36000007</v>
      </c>
      <c r="G28" s="129">
        <f>+F28/E28</f>
        <v>-1.191668964660325E-3</v>
      </c>
      <c r="H28" s="42" t="s">
        <v>155</v>
      </c>
      <c r="I28" s="77" t="s">
        <v>156</v>
      </c>
      <c r="J28" s="69"/>
      <c r="K28" s="75">
        <v>2050055482.22</v>
      </c>
      <c r="L28" s="75">
        <v>1842455219.4400001</v>
      </c>
      <c r="M28" s="75">
        <f>+K28-L28</f>
        <v>207600262.77999997</v>
      </c>
      <c r="N28" s="113">
        <f>+M28/L28</f>
        <v>0.11267587976607565</v>
      </c>
      <c r="R28" s="11"/>
      <c r="S28" s="11">
        <f>+K25/$K$35*100</f>
        <v>2055.703195276631</v>
      </c>
    </row>
    <row r="29" spans="1:30" s="2" customFormat="1" ht="21" customHeight="1" x14ac:dyDescent="0.2">
      <c r="A29" s="115">
        <v>13</v>
      </c>
      <c r="B29" s="45" t="s">
        <v>73</v>
      </c>
      <c r="C29" s="44"/>
      <c r="D29" s="76">
        <f>SUM(D30:D31)</f>
        <v>2841076.5800000131</v>
      </c>
      <c r="E29" s="76">
        <f>SUM(E30:E31)</f>
        <v>4978822.5800000131</v>
      </c>
      <c r="F29" s="76">
        <f>SUM(F30:F31)</f>
        <v>-2137746</v>
      </c>
      <c r="G29" s="126">
        <f>+F29/E29</f>
        <v>-0.42936778036384543</v>
      </c>
      <c r="H29" s="42"/>
      <c r="I29" s="77"/>
      <c r="J29" s="69"/>
      <c r="K29" s="75"/>
      <c r="L29" s="75"/>
      <c r="M29" s="75"/>
      <c r="N29" s="113"/>
      <c r="R29" s="11"/>
      <c r="S29" s="11"/>
    </row>
    <row r="30" spans="1:30" s="2" customFormat="1" ht="25.5" customHeight="1" x14ac:dyDescent="0.2">
      <c r="A30" s="117">
        <v>1385</v>
      </c>
      <c r="B30" s="77" t="s">
        <v>158</v>
      </c>
      <c r="C30" s="69"/>
      <c r="D30" s="75">
        <v>163212066</v>
      </c>
      <c r="E30" s="75">
        <v>163429248</v>
      </c>
      <c r="F30" s="75">
        <f t="shared" ref="F30:F31" si="9">+D30-E30</f>
        <v>-217182</v>
      </c>
      <c r="G30" s="127">
        <f t="shared" ref="G30:G31" si="10">+F30/E30</f>
        <v>-1.3289053376786021E-3</v>
      </c>
      <c r="H30" s="42"/>
      <c r="I30" s="41"/>
      <c r="J30" s="44"/>
      <c r="K30" s="76"/>
      <c r="L30" s="76"/>
      <c r="M30" s="76"/>
      <c r="N30" s="112"/>
      <c r="P30" s="11"/>
      <c r="R30" s="11"/>
      <c r="S30" s="11"/>
    </row>
    <row r="31" spans="1:30" s="2" customFormat="1" ht="24" customHeight="1" x14ac:dyDescent="0.2">
      <c r="A31" s="117">
        <v>1386</v>
      </c>
      <c r="B31" s="77" t="s">
        <v>76</v>
      </c>
      <c r="C31" s="69"/>
      <c r="D31" s="75">
        <v>-160370989.41999999</v>
      </c>
      <c r="E31" s="75">
        <v>-158450425.41999999</v>
      </c>
      <c r="F31" s="75">
        <f t="shared" si="9"/>
        <v>-1920564</v>
      </c>
      <c r="G31" s="127">
        <f t="shared" si="10"/>
        <v>1.2120914127615727E-2</v>
      </c>
      <c r="H31" s="47"/>
      <c r="I31" s="77"/>
      <c r="J31" s="69"/>
      <c r="K31" s="75"/>
      <c r="L31" s="75"/>
      <c r="M31" s="75"/>
      <c r="N31" s="113"/>
      <c r="P31" s="11" t="e">
        <f>+#REF!/$D$9*100</f>
        <v>#REF!</v>
      </c>
      <c r="R31" s="11"/>
      <c r="S31" s="11"/>
    </row>
    <row r="32" spans="1:30" s="2" customFormat="1" ht="17.25" customHeight="1" x14ac:dyDescent="0.2">
      <c r="A32" s="115">
        <v>16</v>
      </c>
      <c r="B32" s="46" t="s">
        <v>81</v>
      </c>
      <c r="C32" s="44"/>
      <c r="D32" s="76">
        <f>SUM(D33:D45)</f>
        <v>274968513470.48004</v>
      </c>
      <c r="E32" s="76">
        <f t="shared" ref="E32:F32" si="11">SUM(E33:E45)</f>
        <v>275214899488.84003</v>
      </c>
      <c r="F32" s="76">
        <f t="shared" si="11"/>
        <v>-246386018.36000007</v>
      </c>
      <c r="G32" s="126">
        <f>+F32/E32</f>
        <v>-8.9524956249685539E-4</v>
      </c>
      <c r="H32" s="42"/>
      <c r="I32" s="41" t="s">
        <v>105</v>
      </c>
      <c r="J32" s="131"/>
      <c r="K32" s="128">
        <f>+K34+K37</f>
        <v>447768868</v>
      </c>
      <c r="L32" s="128">
        <f t="shared" ref="L32:M32" si="12">+L34+L37</f>
        <v>488488009</v>
      </c>
      <c r="M32" s="128">
        <f t="shared" si="12"/>
        <v>-40719141</v>
      </c>
      <c r="N32" s="130">
        <f>+M32/L32</f>
        <v>-8.3357503663923097E-2</v>
      </c>
      <c r="P32" s="11"/>
      <c r="S32" s="11"/>
    </row>
    <row r="33" spans="1:26" s="2" customFormat="1" ht="16.5" customHeight="1" x14ac:dyDescent="0.2">
      <c r="A33" s="117">
        <v>1605</v>
      </c>
      <c r="B33" s="42" t="s">
        <v>14</v>
      </c>
      <c r="C33" s="69"/>
      <c r="D33" s="75">
        <v>233289491132.06</v>
      </c>
      <c r="E33" s="75">
        <v>233289491132.06</v>
      </c>
      <c r="F33" s="75">
        <f t="shared" ref="F33:F45" si="13">+D33-E33</f>
        <v>0</v>
      </c>
      <c r="G33" s="127">
        <f t="shared" ref="G33:G43" si="14">+F33/E33</f>
        <v>0</v>
      </c>
      <c r="H33" s="47"/>
      <c r="I33" s="77"/>
      <c r="J33" s="69"/>
      <c r="K33" s="75"/>
      <c r="L33" s="75"/>
      <c r="M33" s="75"/>
      <c r="N33" s="113"/>
      <c r="R33" s="11"/>
    </row>
    <row r="34" spans="1:26" s="2" customFormat="1" ht="21.75" customHeight="1" x14ac:dyDescent="0.2">
      <c r="A34" s="117">
        <v>1615</v>
      </c>
      <c r="B34" s="77" t="s">
        <v>82</v>
      </c>
      <c r="C34" s="156"/>
      <c r="D34" s="75">
        <v>249733128.78</v>
      </c>
      <c r="E34" s="75">
        <v>249733128.78</v>
      </c>
      <c r="F34" s="75">
        <f t="shared" si="13"/>
        <v>0</v>
      </c>
      <c r="G34" s="127">
        <f t="shared" si="14"/>
        <v>0</v>
      </c>
      <c r="H34" s="46">
        <v>25</v>
      </c>
      <c r="I34" s="91" t="s">
        <v>101</v>
      </c>
      <c r="J34" s="44"/>
      <c r="K34" s="76">
        <f>SUM(K35:K36)</f>
        <v>447768868</v>
      </c>
      <c r="L34" s="76">
        <f>SUM(L35:L36)</f>
        <v>488488009</v>
      </c>
      <c r="M34" s="76">
        <f>SUM(M35:M36)</f>
        <v>-40719141</v>
      </c>
      <c r="N34" s="112">
        <f>+M34/L34</f>
        <v>-8.3357503663923097E-2</v>
      </c>
      <c r="P34" s="11"/>
      <c r="S34" s="11"/>
    </row>
    <row r="35" spans="1:26" s="2" customFormat="1" ht="24" customHeight="1" x14ac:dyDescent="0.2">
      <c r="A35" s="117">
        <v>1635</v>
      </c>
      <c r="B35" s="77" t="s">
        <v>16</v>
      </c>
      <c r="C35" s="156"/>
      <c r="D35" s="75">
        <v>263269065</v>
      </c>
      <c r="E35" s="75">
        <v>358955615</v>
      </c>
      <c r="F35" s="75">
        <f t="shared" si="13"/>
        <v>-95686550</v>
      </c>
      <c r="G35" s="127">
        <f t="shared" si="14"/>
        <v>-0.26656930829735037</v>
      </c>
      <c r="H35" s="47">
        <v>2512</v>
      </c>
      <c r="I35" s="77" t="s">
        <v>106</v>
      </c>
      <c r="J35" s="69"/>
      <c r="K35" s="75">
        <v>447768868</v>
      </c>
      <c r="L35" s="75">
        <v>488488009</v>
      </c>
      <c r="M35" s="75">
        <f>+K35-L35</f>
        <v>-40719141</v>
      </c>
      <c r="N35" s="113">
        <f>+M35/L35</f>
        <v>-8.3357503663923097E-2</v>
      </c>
      <c r="R35" s="11" t="e">
        <f>+#REF!/$K$35*100</f>
        <v>#REF!</v>
      </c>
      <c r="S35" s="11"/>
    </row>
    <row r="36" spans="1:26" s="2" customFormat="1" ht="23.25" customHeight="1" x14ac:dyDescent="0.2">
      <c r="A36" s="117">
        <v>1637</v>
      </c>
      <c r="B36" s="77" t="s">
        <v>83</v>
      </c>
      <c r="C36" s="156"/>
      <c r="D36" s="75">
        <v>341862599</v>
      </c>
      <c r="E36" s="75">
        <v>306123319</v>
      </c>
      <c r="F36" s="75">
        <f t="shared" si="13"/>
        <v>35739280</v>
      </c>
      <c r="G36" s="127">
        <f t="shared" si="14"/>
        <v>0.11674798286111618</v>
      </c>
      <c r="H36" s="150"/>
      <c r="I36" s="77"/>
      <c r="J36" s="69"/>
      <c r="K36" s="75"/>
      <c r="L36" s="75"/>
      <c r="M36" s="75"/>
      <c r="N36" s="113"/>
      <c r="R36" s="11"/>
      <c r="S36" s="11"/>
    </row>
    <row r="37" spans="1:26" s="2" customFormat="1" ht="16.5" customHeight="1" x14ac:dyDescent="0.2">
      <c r="A37" s="117">
        <v>1640</v>
      </c>
      <c r="B37" s="77" t="s">
        <v>17</v>
      </c>
      <c r="C37" s="69"/>
      <c r="D37" s="75">
        <v>38322419893.5</v>
      </c>
      <c r="E37" s="75">
        <v>38322419893.5</v>
      </c>
      <c r="F37" s="75">
        <f t="shared" si="13"/>
        <v>0</v>
      </c>
      <c r="G37" s="127">
        <f t="shared" si="14"/>
        <v>0</v>
      </c>
      <c r="H37" s="46"/>
      <c r="I37" s="45"/>
      <c r="J37" s="44"/>
      <c r="K37" s="76"/>
      <c r="L37" s="76"/>
      <c r="M37" s="76"/>
      <c r="N37" s="112"/>
      <c r="R37" s="11"/>
      <c r="S37" s="11"/>
    </row>
    <row r="38" spans="1:26" s="2" customFormat="1" ht="16.5" customHeight="1" x14ac:dyDescent="0.2">
      <c r="A38" s="117">
        <v>1655</v>
      </c>
      <c r="B38" s="77" t="s">
        <v>19</v>
      </c>
      <c r="C38" s="156"/>
      <c r="D38" s="75">
        <v>1731231504.05</v>
      </c>
      <c r="E38" s="75">
        <v>1745911288.05</v>
      </c>
      <c r="F38" s="75">
        <f t="shared" si="13"/>
        <v>-14679784</v>
      </c>
      <c r="G38" s="127">
        <f t="shared" si="14"/>
        <v>-8.4080927252585553E-3</v>
      </c>
      <c r="H38" s="47"/>
      <c r="I38" s="77"/>
      <c r="J38" s="69"/>
      <c r="K38" s="75"/>
      <c r="L38" s="75"/>
      <c r="M38" s="75"/>
      <c r="N38" s="113"/>
      <c r="P38" s="40" t="e">
        <f>+#REF!/#REF!*100</f>
        <v>#REF!</v>
      </c>
      <c r="R38" s="11"/>
      <c r="S38" s="11"/>
      <c r="Z38" s="12"/>
    </row>
    <row r="39" spans="1:26" s="2" customFormat="1" ht="18" customHeight="1" x14ac:dyDescent="0.2">
      <c r="A39" s="117">
        <v>1660</v>
      </c>
      <c r="B39" s="77" t="s">
        <v>84</v>
      </c>
      <c r="C39" s="156"/>
      <c r="D39" s="75">
        <v>2395014790.6199999</v>
      </c>
      <c r="E39" s="75">
        <v>2323350832.6199999</v>
      </c>
      <c r="F39" s="75">
        <f t="shared" si="13"/>
        <v>71663958</v>
      </c>
      <c r="G39" s="127">
        <f t="shared" si="14"/>
        <v>3.0845086757382172E-2</v>
      </c>
      <c r="H39" s="42"/>
      <c r="I39" s="42"/>
      <c r="J39" s="69"/>
      <c r="K39" s="75"/>
      <c r="L39" s="75"/>
      <c r="M39" s="75"/>
      <c r="N39" s="113"/>
      <c r="R39" s="11"/>
    </row>
    <row r="40" spans="1:26" s="2" customFormat="1" ht="24.95" customHeight="1" x14ac:dyDescent="0.2">
      <c r="A40" s="117">
        <v>1665</v>
      </c>
      <c r="B40" s="77" t="s">
        <v>85</v>
      </c>
      <c r="C40" s="156"/>
      <c r="D40" s="75">
        <v>935051751.23000002</v>
      </c>
      <c r="E40" s="75">
        <v>924426251.23000002</v>
      </c>
      <c r="F40" s="75">
        <f t="shared" si="13"/>
        <v>10625500</v>
      </c>
      <c r="G40" s="127">
        <f t="shared" si="14"/>
        <v>1.1494156495298773E-2</v>
      </c>
      <c r="H40" s="42"/>
      <c r="I40" s="41" t="s">
        <v>13</v>
      </c>
      <c r="J40" s="44"/>
      <c r="K40" s="128">
        <f>+K9+K32</f>
        <v>26881747016.950001</v>
      </c>
      <c r="L40" s="128">
        <f t="shared" ref="L40:M40" si="15">+L9+L32</f>
        <v>22017801837.98</v>
      </c>
      <c r="M40" s="128">
        <f t="shared" si="15"/>
        <v>4863945178.9699993</v>
      </c>
      <c r="N40" s="130">
        <f>+M40/L40</f>
        <v>0.22090966277023397</v>
      </c>
      <c r="P40" s="40">
        <f>+D32/D53*100</f>
        <v>55.432875623929348</v>
      </c>
      <c r="R40" s="11"/>
      <c r="S40" s="11"/>
    </row>
    <row r="41" spans="1:26" s="2" customFormat="1" ht="24" customHeight="1" x14ac:dyDescent="0.2">
      <c r="A41" s="117">
        <v>1670</v>
      </c>
      <c r="B41" s="77" t="s">
        <v>86</v>
      </c>
      <c r="C41" s="156"/>
      <c r="D41" s="75">
        <v>10765342080.17</v>
      </c>
      <c r="E41" s="75">
        <v>10491248993.75</v>
      </c>
      <c r="F41" s="75">
        <f t="shared" si="13"/>
        <v>274093086.42000008</v>
      </c>
      <c r="G41" s="127">
        <f t="shared" si="14"/>
        <v>2.6125877536915462E-2</v>
      </c>
      <c r="H41" s="42"/>
      <c r="I41" s="41"/>
      <c r="J41" s="44"/>
      <c r="K41" s="183"/>
      <c r="L41" s="183"/>
      <c r="M41" s="183"/>
      <c r="N41" s="184"/>
      <c r="P41" s="11">
        <f>+D33/$D$32*100</f>
        <v>84.842256368784348</v>
      </c>
      <c r="R41" s="11"/>
      <c r="S41" s="11"/>
    </row>
    <row r="42" spans="1:26" s="2" customFormat="1" ht="24" customHeight="1" x14ac:dyDescent="0.2">
      <c r="A42" s="117">
        <v>1675</v>
      </c>
      <c r="B42" s="77" t="s">
        <v>87</v>
      </c>
      <c r="C42" s="156"/>
      <c r="D42" s="75">
        <v>1339741121</v>
      </c>
      <c r="E42" s="75">
        <v>1339741121</v>
      </c>
      <c r="F42" s="75">
        <f t="shared" si="13"/>
        <v>0</v>
      </c>
      <c r="G42" s="127">
        <f t="shared" si="14"/>
        <v>0</v>
      </c>
      <c r="H42" s="42"/>
      <c r="I42" s="41"/>
      <c r="J42" s="44"/>
      <c r="K42" s="76"/>
      <c r="L42" s="76"/>
      <c r="M42" s="76"/>
      <c r="N42" s="112"/>
      <c r="P42" s="11"/>
      <c r="R42" s="11"/>
      <c r="S42" s="11"/>
    </row>
    <row r="43" spans="1:26" s="2" customFormat="1" ht="21.95" customHeight="1" x14ac:dyDescent="0.2">
      <c r="A43" s="117">
        <v>1680</v>
      </c>
      <c r="B43" s="77" t="s">
        <v>88</v>
      </c>
      <c r="C43" s="156"/>
      <c r="D43" s="75">
        <v>374851954.25999999</v>
      </c>
      <c r="E43" s="75">
        <v>383947644.19999999</v>
      </c>
      <c r="F43" s="75">
        <f t="shared" si="13"/>
        <v>-9095689.9399999976</v>
      </c>
      <c r="G43" s="127">
        <f t="shared" si="14"/>
        <v>-2.3689922512617406E-2</v>
      </c>
      <c r="H43" s="48"/>
      <c r="I43" s="42"/>
      <c r="J43" s="69"/>
      <c r="K43" s="185"/>
      <c r="L43" s="185"/>
      <c r="M43" s="185"/>
      <c r="N43" s="186"/>
      <c r="P43" s="29">
        <f>+D34/$D$32*100</f>
        <v>9.0822445678607033E-2</v>
      </c>
      <c r="Q43" s="11">
        <f>+D32/D53*100</f>
        <v>55.432875623929348</v>
      </c>
      <c r="R43" s="11"/>
      <c r="S43" s="11"/>
    </row>
    <row r="44" spans="1:26" s="2" customFormat="1" ht="20.25" customHeight="1" x14ac:dyDescent="0.2">
      <c r="A44" s="117">
        <v>1681</v>
      </c>
      <c r="B44" s="77" t="s">
        <v>23</v>
      </c>
      <c r="C44" s="156"/>
      <c r="D44" s="75">
        <v>1435500037.78</v>
      </c>
      <c r="E44" s="75">
        <v>1425286682.78</v>
      </c>
      <c r="F44" s="75">
        <f t="shared" si="13"/>
        <v>10213355</v>
      </c>
      <c r="G44" s="127">
        <f>+F44/E44</f>
        <v>7.1658250395485396E-3</v>
      </c>
      <c r="H44" s="42"/>
      <c r="I44" s="189" t="s">
        <v>15</v>
      </c>
      <c r="J44" s="44"/>
      <c r="K44" s="128">
        <f>+K46</f>
        <v>432838341346.20001</v>
      </c>
      <c r="L44" s="128">
        <f>+L46</f>
        <v>454882533084.56</v>
      </c>
      <c r="M44" s="128">
        <f>+M46</f>
        <v>-22044191738.359997</v>
      </c>
      <c r="N44" s="130">
        <f>+M44/L44</f>
        <v>-4.8461284254812463E-2</v>
      </c>
      <c r="R44" s="11"/>
      <c r="S44" s="11"/>
    </row>
    <row r="45" spans="1:26" s="2" customFormat="1" ht="25.5" customHeight="1" x14ac:dyDescent="0.2">
      <c r="A45" s="110">
        <v>1685</v>
      </c>
      <c r="B45" s="77" t="s">
        <v>89</v>
      </c>
      <c r="C45" s="69"/>
      <c r="D45" s="75">
        <v>-16474995586.969999</v>
      </c>
      <c r="E45" s="75">
        <v>-15945736413.129999</v>
      </c>
      <c r="F45" s="75">
        <f t="shared" si="13"/>
        <v>-529259173.84000015</v>
      </c>
      <c r="G45" s="127">
        <f>+F45/E45</f>
        <v>3.3191265685553341E-2</v>
      </c>
      <c r="H45" s="48"/>
      <c r="I45" s="42"/>
      <c r="J45" s="69"/>
      <c r="K45" s="76"/>
      <c r="L45" s="76"/>
      <c r="M45" s="76"/>
      <c r="N45" s="118"/>
      <c r="P45" s="11"/>
      <c r="R45" s="11"/>
      <c r="S45" s="11"/>
    </row>
    <row r="46" spans="1:26" s="2" customFormat="1" ht="33.75" x14ac:dyDescent="0.2">
      <c r="A46" s="115">
        <v>17</v>
      </c>
      <c r="B46" s="141" t="s">
        <v>21</v>
      </c>
      <c r="C46" s="44"/>
      <c r="D46" s="76">
        <f>+D47</f>
        <v>46206747.32</v>
      </c>
      <c r="E46" s="76">
        <f>+E47</f>
        <v>46206747.32</v>
      </c>
      <c r="F46" s="76">
        <f>+F47</f>
        <v>0</v>
      </c>
      <c r="G46" s="126">
        <f>+F46/E46</f>
        <v>0</v>
      </c>
      <c r="H46" s="46">
        <v>31</v>
      </c>
      <c r="I46" s="141" t="s">
        <v>116</v>
      </c>
      <c r="J46" s="44"/>
      <c r="K46" s="76">
        <f>SUM(K47:K50)</f>
        <v>432838341346.20001</v>
      </c>
      <c r="L46" s="76">
        <f>SUM(L47:L50)</f>
        <v>454882533084.56</v>
      </c>
      <c r="M46" s="76">
        <f>SUM(M47:M50)</f>
        <v>-22044191738.359997</v>
      </c>
      <c r="N46" s="112">
        <f t="shared" ref="N46:N48" si="16">+M46/L46</f>
        <v>-4.8461284254812463E-2</v>
      </c>
      <c r="P46" s="11">
        <f>+D36/$D$32*100</f>
        <v>0.12432790747028626</v>
      </c>
      <c r="R46" s="11" t="e">
        <f>+K41/$K$38*100</f>
        <v>#DIV/0!</v>
      </c>
      <c r="S46" s="11"/>
    </row>
    <row r="47" spans="1:26" s="2" customFormat="1" ht="21.75" customHeight="1" x14ac:dyDescent="0.2">
      <c r="A47" s="117">
        <v>1715</v>
      </c>
      <c r="B47" s="49" t="s">
        <v>22</v>
      </c>
      <c r="C47" s="70"/>
      <c r="D47" s="75">
        <v>46206747.32</v>
      </c>
      <c r="E47" s="75">
        <v>46206747.32</v>
      </c>
      <c r="F47" s="75">
        <f>+D47-E47</f>
        <v>0</v>
      </c>
      <c r="G47" s="127">
        <f>+F47/E47</f>
        <v>0</v>
      </c>
      <c r="H47" s="47">
        <v>3105</v>
      </c>
      <c r="I47" s="77" t="s">
        <v>18</v>
      </c>
      <c r="J47" s="69"/>
      <c r="K47" s="75">
        <v>44239962579.480003</v>
      </c>
      <c r="L47" s="75">
        <v>44239962579.480003</v>
      </c>
      <c r="M47" s="75">
        <f>+K47-L47</f>
        <v>0</v>
      </c>
      <c r="N47" s="113">
        <f>+M47/L47</f>
        <v>0</v>
      </c>
      <c r="P47" s="29">
        <f>+D37/$D$32*100</f>
        <v>13.93702115555649</v>
      </c>
      <c r="R47" s="11" t="e">
        <f>+K44/$K$38*100</f>
        <v>#DIV/0!</v>
      </c>
      <c r="S47" s="11"/>
    </row>
    <row r="48" spans="1:26" s="2" customFormat="1" ht="30" customHeight="1" x14ac:dyDescent="0.2">
      <c r="A48" s="115">
        <v>19</v>
      </c>
      <c r="B48" s="45" t="s">
        <v>11</v>
      </c>
      <c r="C48" s="44"/>
      <c r="D48" s="76">
        <f>SUM(D49:D52)</f>
        <v>2154438265.2400002</v>
      </c>
      <c r="E48" s="76">
        <f>SUM(E49:E52)</f>
        <v>2236605845.2400002</v>
      </c>
      <c r="F48" s="76">
        <f>SUM(F49:F52)</f>
        <v>-82167580</v>
      </c>
      <c r="G48" s="126">
        <f t="shared" ref="G48" si="17">+F48/E48</f>
        <v>-3.6737621952867137E-2</v>
      </c>
      <c r="H48" s="47">
        <v>3109</v>
      </c>
      <c r="I48" s="77" t="s">
        <v>117</v>
      </c>
      <c r="J48" s="69"/>
      <c r="K48" s="75">
        <v>365186420179.53003</v>
      </c>
      <c r="L48" s="75">
        <v>365164662588.53003</v>
      </c>
      <c r="M48" s="75">
        <f>+K48-L48</f>
        <v>21757591</v>
      </c>
      <c r="N48" s="113">
        <f t="shared" si="16"/>
        <v>5.9582958673404272E-5</v>
      </c>
      <c r="P48" s="11">
        <f>+D39/$D$32*100</f>
        <v>0.87101419736813712</v>
      </c>
      <c r="R48" s="11" t="e">
        <f>+K45/$K$38*100</f>
        <v>#DIV/0!</v>
      </c>
      <c r="S48" s="11"/>
    </row>
    <row r="49" spans="1:26" s="2" customFormat="1" ht="17.25" customHeight="1" x14ac:dyDescent="0.2">
      <c r="A49" s="117"/>
      <c r="B49" s="77"/>
      <c r="C49" s="69"/>
      <c r="D49" s="75"/>
      <c r="E49" s="75"/>
      <c r="F49" s="75"/>
      <c r="G49" s="127"/>
      <c r="H49" s="47">
        <v>3110</v>
      </c>
      <c r="I49" s="77" t="s">
        <v>20</v>
      </c>
      <c r="J49" s="69"/>
      <c r="K49" s="75">
        <f>+'EST RESUL MARZO 2025-2024'!D77</f>
        <v>23411958587.190006</v>
      </c>
      <c r="L49" s="75">
        <v>45477907916.550003</v>
      </c>
      <c r="M49" s="75">
        <f>+K49-L49</f>
        <v>-22065949329.359997</v>
      </c>
      <c r="N49" s="113">
        <f>+M49/L49</f>
        <v>-0.48520150420837432</v>
      </c>
      <c r="P49" s="11">
        <f>+D40/$D$32*100</f>
        <v>0.34005775404185867</v>
      </c>
      <c r="R49" s="11" t="e">
        <f>+#REF!/$K$38*100</f>
        <v>#REF!</v>
      </c>
      <c r="S49" s="11"/>
    </row>
    <row r="50" spans="1:26" s="2" customFormat="1" ht="24.75" customHeight="1" x14ac:dyDescent="0.2">
      <c r="A50" s="117">
        <v>1909</v>
      </c>
      <c r="B50" s="77" t="s">
        <v>90</v>
      </c>
      <c r="C50" s="69"/>
      <c r="D50" s="75">
        <v>1263704</v>
      </c>
      <c r="E50" s="75">
        <v>0</v>
      </c>
      <c r="F50" s="75">
        <f>+D50-E50</f>
        <v>1263704</v>
      </c>
      <c r="G50" s="188" t="s">
        <v>6</v>
      </c>
      <c r="H50" s="47"/>
      <c r="I50" s="77"/>
      <c r="J50" s="69"/>
      <c r="K50" s="75"/>
      <c r="L50" s="75"/>
      <c r="M50" s="75"/>
      <c r="N50" s="113"/>
      <c r="P50" s="29">
        <f>+D41/$D$32*100</f>
        <v>3.9151181145421368</v>
      </c>
      <c r="R50" s="11"/>
      <c r="S50" s="11"/>
    </row>
    <row r="51" spans="1:26" s="2" customFormat="1" ht="17.25" customHeight="1" x14ac:dyDescent="0.2">
      <c r="A51" s="117">
        <v>1970</v>
      </c>
      <c r="B51" s="77" t="s">
        <v>91</v>
      </c>
      <c r="C51" s="69"/>
      <c r="D51" s="75">
        <v>3165338164.6700001</v>
      </c>
      <c r="E51" s="75">
        <v>3163011364.6700001</v>
      </c>
      <c r="F51" s="75">
        <f>+D51-E51</f>
        <v>2326800</v>
      </c>
      <c r="G51" s="127">
        <f t="shared" ref="G51:G52" si="18">+F51/E51</f>
        <v>7.3562808720504147E-4</v>
      </c>
      <c r="H51" s="42"/>
      <c r="I51" s="42"/>
      <c r="J51" s="69"/>
      <c r="K51" s="75"/>
      <c r="L51" s="75"/>
      <c r="M51" s="75"/>
      <c r="N51" s="118"/>
      <c r="P51" s="11">
        <f>+D42/$D$32*100</f>
        <v>0.48723437607114656</v>
      </c>
      <c r="R51" s="11"/>
      <c r="S51" s="11"/>
      <c r="Y51" s="12"/>
    </row>
    <row r="52" spans="1:26" s="2" customFormat="1" ht="22.5" customHeight="1" x14ac:dyDescent="0.2">
      <c r="A52" s="110">
        <v>1975</v>
      </c>
      <c r="B52" s="77" t="s">
        <v>92</v>
      </c>
      <c r="C52" s="69"/>
      <c r="D52" s="75">
        <v>-1012163603.4299999</v>
      </c>
      <c r="E52" s="75">
        <v>-926405519.42999995</v>
      </c>
      <c r="F52" s="75">
        <f>+D52-E52</f>
        <v>-85758084</v>
      </c>
      <c r="G52" s="127">
        <f t="shared" si="18"/>
        <v>9.2570782666283505E-2</v>
      </c>
      <c r="H52" s="42"/>
      <c r="I52" s="42"/>
      <c r="J52" s="69"/>
      <c r="K52" s="75"/>
      <c r="L52" s="75"/>
      <c r="M52" s="75"/>
      <c r="N52" s="118"/>
      <c r="P52" s="11">
        <f>+D43/$D$32*100</f>
        <v>0.13632541032747852</v>
      </c>
      <c r="R52" s="11"/>
      <c r="S52" s="11"/>
      <c r="Y52" s="12"/>
      <c r="Z52" s="12"/>
    </row>
    <row r="53" spans="1:26" s="2" customFormat="1" ht="27" customHeight="1" thickBot="1" x14ac:dyDescent="0.25">
      <c r="A53" s="134"/>
      <c r="B53" s="135" t="s">
        <v>24</v>
      </c>
      <c r="C53" s="136"/>
      <c r="D53" s="137">
        <f>+D9+D28</f>
        <v>496038696126.71008</v>
      </c>
      <c r="E53" s="137">
        <f>+E9+E28</f>
        <v>476900334922.54004</v>
      </c>
      <c r="F53" s="137">
        <f>+F9+F28</f>
        <v>19138361204.170006</v>
      </c>
      <c r="G53" s="138">
        <f>+F53/E53</f>
        <v>4.0130735507406451E-2</v>
      </c>
      <c r="H53" s="139"/>
      <c r="I53" s="135" t="s">
        <v>25</v>
      </c>
      <c r="J53" s="136"/>
      <c r="K53" s="137">
        <f>+K40+K44</f>
        <v>459720088363.15002</v>
      </c>
      <c r="L53" s="137">
        <f>+L40+L44</f>
        <v>476900334922.53998</v>
      </c>
      <c r="M53" s="137">
        <f>+M40+M44</f>
        <v>-17180246559.389999</v>
      </c>
      <c r="N53" s="140">
        <f>+M53/L53</f>
        <v>-3.6024815462082832E-2</v>
      </c>
      <c r="R53" s="11"/>
      <c r="S53" s="11"/>
      <c r="Y53" s="12"/>
      <c r="Z53" s="12"/>
    </row>
    <row r="54" spans="1:26" s="2" customFormat="1" ht="27" customHeight="1" x14ac:dyDescent="0.2">
      <c r="A54" s="145">
        <v>8</v>
      </c>
      <c r="B54" s="142" t="s">
        <v>26</v>
      </c>
      <c r="C54" s="143"/>
      <c r="D54" s="144">
        <f>+D55+D61+D58</f>
        <v>0</v>
      </c>
      <c r="E54" s="144">
        <f>+E55+E61+E58</f>
        <v>0</v>
      </c>
      <c r="F54" s="144">
        <f>+F55+F61+F58</f>
        <v>0</v>
      </c>
      <c r="G54" s="169">
        <v>0</v>
      </c>
      <c r="H54" s="170">
        <v>9</v>
      </c>
      <c r="I54" s="157" t="s">
        <v>27</v>
      </c>
      <c r="J54" s="143"/>
      <c r="K54" s="144">
        <f>+K55+K59+K61</f>
        <v>0</v>
      </c>
      <c r="L54" s="144">
        <f>+L55+L59+L61</f>
        <v>0</v>
      </c>
      <c r="M54" s="144">
        <f>+M55+M59+M61</f>
        <v>0</v>
      </c>
      <c r="N54" s="146">
        <v>0</v>
      </c>
      <c r="Q54" s="11" t="e">
        <f>+#REF!/D53*100</f>
        <v>#REF!</v>
      </c>
      <c r="R54" s="11"/>
      <c r="S54" s="11"/>
    </row>
    <row r="55" spans="1:26" s="2" customFormat="1" ht="20.25" customHeight="1" x14ac:dyDescent="0.2">
      <c r="A55" s="115">
        <v>81</v>
      </c>
      <c r="B55" s="41" t="s">
        <v>107</v>
      </c>
      <c r="C55" s="44"/>
      <c r="D55" s="76">
        <f>SUM(D56:D57)</f>
        <v>547763833.13999999</v>
      </c>
      <c r="E55" s="76">
        <f t="shared" ref="E55:F55" si="19">SUM(E56:E57)</f>
        <v>752063177</v>
      </c>
      <c r="F55" s="76">
        <f t="shared" si="19"/>
        <v>-204299343.86000001</v>
      </c>
      <c r="G55" s="168">
        <f>+F55/E55</f>
        <v>-0.27165183738280541</v>
      </c>
      <c r="H55" s="171">
        <v>91</v>
      </c>
      <c r="I55" s="45" t="s">
        <v>111</v>
      </c>
      <c r="J55" s="44"/>
      <c r="K55" s="76">
        <f>SUM(K56:K58)</f>
        <v>3661603200.6799998</v>
      </c>
      <c r="L55" s="76">
        <f>SUM(L56:L58)</f>
        <v>3679120741.6799998</v>
      </c>
      <c r="M55" s="76">
        <f>SUM(M56:M58)</f>
        <v>-17517541</v>
      </c>
      <c r="N55" s="112">
        <f>+M55/L55</f>
        <v>-4.7613389801393008E-3</v>
      </c>
      <c r="R55" s="11"/>
      <c r="S55" s="11"/>
    </row>
    <row r="56" spans="1:26" s="2" customFormat="1" ht="21.75" customHeight="1" x14ac:dyDescent="0.2">
      <c r="A56" s="114">
        <v>8120</v>
      </c>
      <c r="B56" s="77" t="s">
        <v>108</v>
      </c>
      <c r="C56" s="69"/>
      <c r="D56" s="75">
        <v>13544742</v>
      </c>
      <c r="E56" s="75">
        <v>15528742</v>
      </c>
      <c r="F56" s="75">
        <f>+D56-E56</f>
        <v>-1984000</v>
      </c>
      <c r="G56" s="163">
        <f>+F56/E56</f>
        <v>-0.12776308602461164</v>
      </c>
      <c r="H56" s="166">
        <v>9120</v>
      </c>
      <c r="I56" s="77" t="s">
        <v>108</v>
      </c>
      <c r="J56" s="69"/>
      <c r="K56" s="75">
        <v>247891726.68000001</v>
      </c>
      <c r="L56" s="75">
        <v>265409267.68000001</v>
      </c>
      <c r="M56" s="75">
        <f>+K56-L56</f>
        <v>-17517541</v>
      </c>
      <c r="N56" s="113">
        <f t="shared" ref="N56" si="20">+M56/L56</f>
        <v>-6.6001994403302594E-2</v>
      </c>
      <c r="O56" s="12"/>
      <c r="Q56" s="12"/>
      <c r="R56" s="11"/>
      <c r="S56" s="11"/>
    </row>
    <row r="57" spans="1:26" s="2" customFormat="1" ht="24" customHeight="1" x14ac:dyDescent="0.2">
      <c r="A57" s="114">
        <v>8190</v>
      </c>
      <c r="B57" s="77" t="s">
        <v>109</v>
      </c>
      <c r="C57" s="69"/>
      <c r="D57" s="75">
        <v>534219091.13999999</v>
      </c>
      <c r="E57" s="75">
        <v>736534435</v>
      </c>
      <c r="F57" s="75">
        <f>+D57-E57</f>
        <v>-202315343.86000001</v>
      </c>
      <c r="G57" s="163">
        <f>+F57/E57</f>
        <v>-0.27468551943535408</v>
      </c>
      <c r="H57" s="166">
        <v>9190</v>
      </c>
      <c r="I57" s="77" t="s">
        <v>166</v>
      </c>
      <c r="J57" s="69"/>
      <c r="K57" s="75">
        <v>3413711474</v>
      </c>
      <c r="L57" s="75">
        <v>3413711474</v>
      </c>
      <c r="M57" s="75">
        <f>+K57-L57</f>
        <v>0</v>
      </c>
      <c r="N57" s="113">
        <f t="shared" ref="N57" si="21">+M57/L57</f>
        <v>0</v>
      </c>
      <c r="P57" s="12">
        <f>+D53-K53</f>
        <v>36318607763.560059</v>
      </c>
    </row>
    <row r="58" spans="1:26" s="2" customFormat="1" ht="12" x14ac:dyDescent="0.2">
      <c r="A58" s="115"/>
      <c r="B58" s="91"/>
      <c r="C58" s="69"/>
      <c r="D58" s="79"/>
      <c r="E58" s="79"/>
      <c r="F58" s="79"/>
      <c r="G58" s="149"/>
      <c r="H58" s="166"/>
      <c r="I58" s="77"/>
      <c r="J58" s="69"/>
      <c r="K58" s="75"/>
      <c r="L58" s="75"/>
      <c r="M58" s="75"/>
      <c r="N58" s="113"/>
    </row>
    <row r="59" spans="1:26" s="2" customFormat="1" ht="20.25" customHeight="1" x14ac:dyDescent="0.2">
      <c r="A59" s="115"/>
      <c r="B59" s="91"/>
      <c r="C59" s="69"/>
      <c r="D59" s="79"/>
      <c r="E59" s="79"/>
      <c r="F59" s="79"/>
      <c r="G59" s="149"/>
      <c r="H59" s="171">
        <v>93</v>
      </c>
      <c r="I59" s="45" t="s">
        <v>177</v>
      </c>
      <c r="J59" s="44"/>
      <c r="K59" s="76">
        <f>SUM(K60)</f>
        <v>102054938.31</v>
      </c>
      <c r="L59" s="76">
        <f>SUM(L60)</f>
        <v>0</v>
      </c>
      <c r="M59" s="76">
        <f>SUM(M60)</f>
        <v>102054938.31</v>
      </c>
      <c r="N59" s="172" t="s">
        <v>6</v>
      </c>
    </row>
    <row r="60" spans="1:26" s="2" customFormat="1" ht="21" customHeight="1" x14ac:dyDescent="0.2">
      <c r="A60" s="115"/>
      <c r="B60" s="91"/>
      <c r="C60" s="69"/>
      <c r="D60" s="79"/>
      <c r="E60" s="79"/>
      <c r="F60" s="79"/>
      <c r="G60" s="149"/>
      <c r="H60" s="166">
        <v>9308</v>
      </c>
      <c r="I60" s="77" t="s">
        <v>178</v>
      </c>
      <c r="J60" s="69"/>
      <c r="K60" s="75">
        <v>102054938.31</v>
      </c>
      <c r="L60" s="75">
        <v>0</v>
      </c>
      <c r="M60" s="75">
        <f>+K60-L60</f>
        <v>102054938.31</v>
      </c>
      <c r="N60" s="116" t="s">
        <v>6</v>
      </c>
    </row>
    <row r="61" spans="1:26" s="2" customFormat="1" ht="33" customHeight="1" x14ac:dyDescent="0.2">
      <c r="A61" s="115">
        <v>89</v>
      </c>
      <c r="B61" s="45" t="s">
        <v>164</v>
      </c>
      <c r="C61" s="44"/>
      <c r="D61" s="76">
        <f>SUM(D62:D63)</f>
        <v>-547763833.13999999</v>
      </c>
      <c r="E61" s="76">
        <f>SUM(E62:E63)</f>
        <v>-752063177</v>
      </c>
      <c r="F61" s="76">
        <f>SUM(F62:F63)</f>
        <v>204299343.86000001</v>
      </c>
      <c r="G61" s="165">
        <f>+F61/E61</f>
        <v>-0.27165183738280541</v>
      </c>
      <c r="H61" s="167">
        <v>99</v>
      </c>
      <c r="I61" s="91" t="s">
        <v>163</v>
      </c>
      <c r="J61" s="44"/>
      <c r="K61" s="79">
        <f>SUM(K62:K63)</f>
        <v>-3763658138.9899998</v>
      </c>
      <c r="L61" s="79">
        <f>SUM(L62:L63)</f>
        <v>-3679120741.6799998</v>
      </c>
      <c r="M61" s="79">
        <f>SUM(M62:M63)</f>
        <v>-84537397.310000002</v>
      </c>
      <c r="N61" s="112">
        <f>+M61/L61</f>
        <v>2.2977608848846212E-2</v>
      </c>
    </row>
    <row r="62" spans="1:26" s="2" customFormat="1" ht="22.5" x14ac:dyDescent="0.2">
      <c r="A62" s="114">
        <v>8905</v>
      </c>
      <c r="B62" s="77" t="s">
        <v>110</v>
      </c>
      <c r="C62" s="44"/>
      <c r="D62" s="75">
        <v>-547763833.13999999</v>
      </c>
      <c r="E62" s="75">
        <v>-752063177</v>
      </c>
      <c r="F62" s="75">
        <f>+D62-E62</f>
        <v>204299343.86000001</v>
      </c>
      <c r="G62" s="173">
        <f>+F62/E62</f>
        <v>-0.27165183738280541</v>
      </c>
      <c r="H62" s="50">
        <v>9905</v>
      </c>
      <c r="I62" s="77" t="s">
        <v>168</v>
      </c>
      <c r="J62" s="44"/>
      <c r="K62" s="75">
        <v>-3661603200.6799998</v>
      </c>
      <c r="L62" s="75">
        <v>-3679120741.6799998</v>
      </c>
      <c r="M62" s="75">
        <f>+K62-L62</f>
        <v>17517541</v>
      </c>
      <c r="N62" s="113">
        <f t="shared" ref="N62" si="22">+M62/L62</f>
        <v>-4.7613389801393008E-3</v>
      </c>
      <c r="V62" s="82"/>
    </row>
    <row r="63" spans="1:26" s="2" customFormat="1" ht="22.5" x14ac:dyDescent="0.2">
      <c r="A63" s="114"/>
      <c r="B63" s="77"/>
      <c r="C63" s="69"/>
      <c r="D63" s="80"/>
      <c r="E63" s="80"/>
      <c r="F63" s="75"/>
      <c r="G63" s="174"/>
      <c r="H63" s="50">
        <v>9915</v>
      </c>
      <c r="I63" s="77" t="s">
        <v>171</v>
      </c>
      <c r="J63" s="69"/>
      <c r="K63" s="75">
        <v>-102054938.31</v>
      </c>
      <c r="L63" s="75">
        <v>0</v>
      </c>
      <c r="M63" s="75">
        <f>+K63-L63</f>
        <v>-102054938.31</v>
      </c>
      <c r="N63" s="116" t="s">
        <v>6</v>
      </c>
      <c r="U63" s="82"/>
      <c r="V63" s="82"/>
    </row>
    <row r="64" spans="1:26" x14ac:dyDescent="0.2">
      <c r="A64" s="114"/>
      <c r="B64" s="77"/>
      <c r="C64" s="69"/>
      <c r="D64" s="80"/>
      <c r="E64" s="80"/>
      <c r="F64" s="75"/>
      <c r="G64" s="164"/>
      <c r="H64" s="50"/>
      <c r="I64" s="77"/>
      <c r="J64" s="69"/>
      <c r="K64" s="80"/>
      <c r="L64" s="80"/>
      <c r="M64" s="75"/>
      <c r="N64" s="116"/>
      <c r="O64" s="2"/>
      <c r="P64" s="2"/>
      <c r="Q64" s="2"/>
      <c r="R64" s="2"/>
      <c r="S64" s="2"/>
      <c r="T64" s="2"/>
    </row>
    <row r="65" spans="1:20" ht="42.75" customHeight="1" x14ac:dyDescent="0.2">
      <c r="A65" s="238" t="s">
        <v>187</v>
      </c>
      <c r="B65" s="239"/>
      <c r="C65" s="239"/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40"/>
      <c r="O65" s="2"/>
      <c r="P65" s="2"/>
      <c r="Q65" s="2"/>
      <c r="R65" s="2"/>
      <c r="S65" s="2"/>
      <c r="T65" s="2"/>
    </row>
    <row r="66" spans="1:20" ht="24" customHeight="1" x14ac:dyDescent="0.2">
      <c r="A66" s="104"/>
      <c r="B66" s="6"/>
      <c r="C66" s="71"/>
      <c r="D66" s="22"/>
      <c r="E66" s="5"/>
      <c r="F66" s="5"/>
      <c r="G66" s="5"/>
      <c r="H66" s="6"/>
      <c r="I66" s="22"/>
      <c r="J66" s="73"/>
      <c r="K66" s="22"/>
      <c r="L66" s="5"/>
      <c r="M66" s="5"/>
      <c r="N66" s="119"/>
    </row>
    <row r="67" spans="1:20" ht="28.5" customHeight="1" x14ac:dyDescent="0.2">
      <c r="A67" s="104"/>
      <c r="B67" s="6"/>
      <c r="C67" s="71"/>
      <c r="D67" s="22"/>
      <c r="E67" s="5"/>
      <c r="F67" s="5"/>
      <c r="G67" s="5"/>
      <c r="H67" s="6"/>
      <c r="I67" s="6"/>
      <c r="J67" s="71"/>
      <c r="K67" s="22"/>
      <c r="L67" s="5"/>
      <c r="M67" s="5"/>
      <c r="N67" s="119"/>
    </row>
    <row r="68" spans="1:20" x14ac:dyDescent="0.2">
      <c r="A68" s="154" t="s">
        <v>182</v>
      </c>
      <c r="B68" s="195"/>
      <c r="C68" s="196"/>
      <c r="D68" s="195"/>
      <c r="E68" s="196" t="s">
        <v>66</v>
      </c>
      <c r="F68" s="18"/>
      <c r="G68" s="18"/>
      <c r="H68" s="7"/>
      <c r="I68" s="7"/>
      <c r="J68" s="67"/>
      <c r="K68" s="83" t="s">
        <v>172</v>
      </c>
      <c r="L68" s="18"/>
      <c r="M68" s="5"/>
      <c r="N68" s="119"/>
    </row>
    <row r="69" spans="1:20" x14ac:dyDescent="0.2">
      <c r="A69" s="209" t="s">
        <v>183</v>
      </c>
      <c r="B69" s="207"/>
      <c r="C69" s="207"/>
      <c r="D69" s="207"/>
      <c r="E69" s="207" t="s">
        <v>67</v>
      </c>
      <c r="F69" s="207"/>
      <c r="G69" s="207"/>
      <c r="H69" s="207"/>
      <c r="I69" s="195"/>
      <c r="J69" s="195"/>
      <c r="K69" s="83" t="s">
        <v>29</v>
      </c>
      <c r="L69" s="92"/>
      <c r="M69" s="93"/>
      <c r="N69" s="120"/>
    </row>
    <row r="70" spans="1:20" x14ac:dyDescent="0.2">
      <c r="A70" s="210" t="s">
        <v>184</v>
      </c>
      <c r="B70" s="211"/>
      <c r="C70" s="211"/>
      <c r="D70" s="211"/>
      <c r="E70" s="208" t="s">
        <v>113</v>
      </c>
      <c r="F70" s="208"/>
      <c r="G70" s="208"/>
      <c r="H70" s="208"/>
      <c r="I70" s="7"/>
      <c r="J70" s="193"/>
      <c r="K70" s="194" t="s">
        <v>114</v>
      </c>
      <c r="L70" s="92"/>
      <c r="M70" s="93"/>
      <c r="N70" s="120"/>
    </row>
    <row r="71" spans="1:20" ht="13.5" thickBot="1" x14ac:dyDescent="0.25">
      <c r="A71" s="202"/>
      <c r="B71" s="203"/>
      <c r="C71" s="192"/>
      <c r="D71" s="121"/>
      <c r="E71" s="192"/>
      <c r="F71" s="192"/>
      <c r="G71" s="192"/>
      <c r="H71" s="192"/>
      <c r="I71" s="192"/>
      <c r="J71" s="192"/>
      <c r="K71" s="155" t="s">
        <v>115</v>
      </c>
      <c r="L71" s="122"/>
      <c r="M71" s="123"/>
      <c r="N71" s="124"/>
    </row>
    <row r="75" spans="1:20" ht="13.5" thickBot="1" x14ac:dyDescent="0.25">
      <c r="A75" s="82">
        <v>1</v>
      </c>
      <c r="B75" s="25" t="s">
        <v>30</v>
      </c>
      <c r="C75" s="25"/>
      <c r="D75" s="19">
        <v>2022</v>
      </c>
      <c r="E75" s="19">
        <v>2021</v>
      </c>
      <c r="K75" s="37" t="s">
        <v>175</v>
      </c>
    </row>
    <row r="77" spans="1:20" x14ac:dyDescent="0.2">
      <c r="A77" s="82">
        <v>1.1000000000000001</v>
      </c>
      <c r="B77" s="3" t="s">
        <v>31</v>
      </c>
      <c r="C77" s="8"/>
      <c r="D77" s="14">
        <f>+D9-K9</f>
        <v>192432718418.13998</v>
      </c>
      <c r="E77" s="14">
        <f>+E9-L9</f>
        <v>177868330189.57999</v>
      </c>
      <c r="F77" s="17" t="s">
        <v>32</v>
      </c>
      <c r="I77" s="14">
        <f>+D77-E77</f>
        <v>14564388228.559998</v>
      </c>
      <c r="J77" s="74"/>
      <c r="K77" s="112">
        <f>+I77/E77</f>
        <v>8.1882976092689602E-2</v>
      </c>
    </row>
    <row r="78" spans="1:20" hidden="1" x14ac:dyDescent="0.2">
      <c r="A78" s="82">
        <v>1.2</v>
      </c>
      <c r="B78" s="3" t="s">
        <v>33</v>
      </c>
      <c r="C78" s="8"/>
      <c r="D78" s="14">
        <f>+D9/K9</f>
        <v>8.279748713334838</v>
      </c>
      <c r="E78" s="14">
        <f>+E9/L9</f>
        <v>9.2616813337616204</v>
      </c>
      <c r="F78" s="17" t="s">
        <v>34</v>
      </c>
      <c r="I78" s="14">
        <f>+D78-E78</f>
        <v>-0.98193262042678242</v>
      </c>
      <c r="J78" s="74"/>
      <c r="K78" s="112">
        <f>+I78/E78</f>
        <v>-0.10602098960664323</v>
      </c>
    </row>
    <row r="80" spans="1:20" x14ac:dyDescent="0.2">
      <c r="A80" s="82">
        <v>2</v>
      </c>
      <c r="B80" s="3" t="s">
        <v>35</v>
      </c>
      <c r="C80" s="8"/>
      <c r="D80" s="14">
        <f>+K40/D53*100</f>
        <v>5.4192842669038912</v>
      </c>
      <c r="E80" s="14">
        <f>+L40/E53*100</f>
        <v>4.6168560232938844</v>
      </c>
      <c r="F80" s="17" t="s">
        <v>36</v>
      </c>
      <c r="I80" s="14">
        <f>+D80-E80</f>
        <v>0.80242824361000675</v>
      </c>
      <c r="J80" s="74"/>
      <c r="K80" s="112">
        <f>+I80/E80</f>
        <v>0.17380404317601317</v>
      </c>
    </row>
    <row r="82" spans="2:14" x14ac:dyDescent="0.2">
      <c r="B82" s="25"/>
      <c r="C82" s="25"/>
      <c r="D82" s="17" t="e">
        <f>+D9-#REF!</f>
        <v>#REF!</v>
      </c>
      <c r="E82" s="17"/>
      <c r="F82" s="18"/>
      <c r="G82" s="10"/>
      <c r="H82" s="26"/>
      <c r="I82" s="81"/>
      <c r="K82" s="9"/>
      <c r="L82" s="200"/>
      <c r="M82" s="200"/>
      <c r="N82" s="200"/>
    </row>
    <row r="83" spans="2:14" x14ac:dyDescent="0.2">
      <c r="D83" s="14" t="e">
        <f>+D82/K9</f>
        <v>#REF!</v>
      </c>
    </row>
    <row r="85" spans="2:14" x14ac:dyDescent="0.2">
      <c r="I85" s="14"/>
      <c r="J85" s="74"/>
    </row>
  </sheetData>
  <mergeCells count="24">
    <mergeCell ref="P6:Q6"/>
    <mergeCell ref="R6:S6"/>
    <mergeCell ref="A71:B71"/>
    <mergeCell ref="L82:N82"/>
    <mergeCell ref="A69:B69"/>
    <mergeCell ref="C69:D69"/>
    <mergeCell ref="E69:H69"/>
    <mergeCell ref="A70:B70"/>
    <mergeCell ref="C70:D70"/>
    <mergeCell ref="E70:H70"/>
    <mergeCell ref="A65:N65"/>
    <mergeCell ref="A6:A7"/>
    <mergeCell ref="B6:B7"/>
    <mergeCell ref="C6:C7"/>
    <mergeCell ref="G6:G7"/>
    <mergeCell ref="H6:H7"/>
    <mergeCell ref="I6:I7"/>
    <mergeCell ref="J6:J7"/>
    <mergeCell ref="N6:N7"/>
    <mergeCell ref="A1:N1"/>
    <mergeCell ref="A2:N2"/>
    <mergeCell ref="A3:N3"/>
    <mergeCell ref="A4:N4"/>
    <mergeCell ref="A5:N5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B9337DE63EBB4196184082924F21E1" ma:contentTypeVersion="18" ma:contentTypeDescription="Crear nuevo documento." ma:contentTypeScope="" ma:versionID="8d4891a26e048f09599a1423299faed6">
  <xsd:schema xmlns:xsd="http://www.w3.org/2001/XMLSchema" xmlns:xs="http://www.w3.org/2001/XMLSchema" xmlns:p="http://schemas.microsoft.com/office/2006/metadata/properties" xmlns:ns3="5259c430-9111-4fe8-9885-0482517866d7" xmlns:ns4="848c6564-7458-4a1e-985e-3daf28c914c8" targetNamespace="http://schemas.microsoft.com/office/2006/metadata/properties" ma:root="true" ma:fieldsID="1d6b6203e4612276bf9db135abf1a344" ns3:_="" ns4:_="">
    <xsd:import namespace="5259c430-9111-4fe8-9885-0482517866d7"/>
    <xsd:import namespace="848c6564-7458-4a1e-985e-3daf28c914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c430-9111-4fe8-9885-0482517866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c6564-7458-4a1e-985e-3daf28c91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8c6564-7458-4a1e-985e-3daf28c914c8" xsi:nil="true"/>
  </documentManagement>
</p:properties>
</file>

<file path=customXml/itemProps1.xml><?xml version="1.0" encoding="utf-8"?>
<ds:datastoreItem xmlns:ds="http://schemas.openxmlformats.org/officeDocument/2006/customXml" ds:itemID="{9B3DE4A7-B4DE-4711-8598-2EFAAB8E7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59c430-9111-4fe8-9885-0482517866d7"/>
    <ds:schemaRef ds:uri="848c6564-7458-4a1e-985e-3daf28c914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A9BFF-E02E-468B-AC9D-FBA69314DD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FD6B07-9AA5-4226-8F28-C5C9E151F6EB}">
  <ds:schemaRefs>
    <ds:schemaRef ds:uri="http://purl.org/dc/elements/1.1/"/>
    <ds:schemaRef ds:uri="http://purl.org/dc/terms/"/>
    <ds:schemaRef ds:uri="5259c430-9111-4fe8-9885-0482517866d7"/>
    <ds:schemaRef ds:uri="848c6564-7458-4a1e-985e-3daf28c914c8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EST SIT FINAN MARZO 2025-2024</vt:lpstr>
      <vt:lpstr>EST RESUL MARZO 2025-2024</vt:lpstr>
      <vt:lpstr>EST SIT FINAN DIC - MARZO 2025</vt:lpstr>
      <vt:lpstr>EST SIT FINAN SEP Y JUN 2023</vt:lpstr>
      <vt:lpstr>'EST RESUL MARZO 2025-2024'!Área_de_impresión</vt:lpstr>
      <vt:lpstr>'EST SIT FINAN DIC - MARZO 2025'!Área_de_impresión</vt:lpstr>
      <vt:lpstr>'EST SIT FINAN MARZO 2025-2024'!Área_de_impresión</vt:lpstr>
      <vt:lpstr>'EST SIT FINAN SEP Y JUN 2023'!Área_de_impresión</vt:lpstr>
      <vt:lpstr>'EST RESUL MARZO 2025-2024'!Títulos_a_imprimir</vt:lpstr>
      <vt:lpstr>'EST SIT FINAN DIC - MARZO 2025'!Títulos_a_imprimir</vt:lpstr>
      <vt:lpstr>'EST SIT FINAN MARZO 2025-2024'!Títulos_a_imprimir</vt:lpstr>
      <vt:lpstr>'EST SIT FINAN SEP Y JUN 2023'!Títulos_a_imprimir</vt:lpstr>
    </vt:vector>
  </TitlesOfParts>
  <Company>upn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upn</dc:creator>
  <cp:lastModifiedBy>MARYSOL GUERRA LEGUIZAMON</cp:lastModifiedBy>
  <cp:revision/>
  <cp:lastPrinted>2025-04-22T20:41:24Z</cp:lastPrinted>
  <dcterms:created xsi:type="dcterms:W3CDTF">2009-11-14T02:04:31Z</dcterms:created>
  <dcterms:modified xsi:type="dcterms:W3CDTF">2025-05-08T19:04:29Z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0x01010098B9337DE63EBB4196184082924F21E1</vt:lpwstr>
  </property>
</Properties>
</file>