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dagogicaedu-my.sharepoint.com/personal/guerramsfn_pedagogica_edu_co/Documents/A DATADRIV/INFORMES FINANCIEROS Y CONTABLES 2025/"/>
    </mc:Choice>
  </mc:AlternateContent>
  <xr:revisionPtr revIDLastSave="0" documentId="8_{A6D0D71D-8FA2-4CB9-816F-5A8B22AF84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 SIT FINAN JUNIO 2025-2024" sheetId="10" r:id="rId1"/>
    <sheet name="EST RESUL JUNIO 2025-2024" sheetId="6" r:id="rId2"/>
    <sheet name="EST SIT FINAN JUNI - MARZO 2025" sheetId="12" r:id="rId3"/>
    <sheet name="EST SIT FINAN SEP Y JUN 2023" sheetId="11" state="hidden" r:id="rId4"/>
  </sheets>
  <definedNames>
    <definedName name="_xlnm.Print_Area" localSheetId="1">'EST RESUL JUNIO 2025-2024'!$A$1:$G$87</definedName>
    <definedName name="_xlnm.Print_Area" localSheetId="2">'EST SIT FINAN JUNI - MARZO 2025'!$A$8:$N$74</definedName>
    <definedName name="_xlnm.Print_Area" localSheetId="0">'EST SIT FINAN JUNIO 2025-2024'!$A$8:$N$76</definedName>
    <definedName name="_xlnm.Print_Area" localSheetId="3">'EST SIT FINAN SEP Y JUN 2023'!$A$8:$N$73</definedName>
    <definedName name="_xlnm.Print_Titles" localSheetId="1">'EST RESUL JUNIO 2025-2024'!$1:$9</definedName>
    <definedName name="_xlnm.Print_Titles" localSheetId="2">'EST SIT FINAN JUNI - MARZO 2025'!$1:$7</definedName>
    <definedName name="_xlnm.Print_Titles" localSheetId="0">'EST SIT FINAN JUNIO 2025-2024'!$1:$7</definedName>
    <definedName name="_xlnm.Print_Titles" localSheetId="3">'EST SIT FINAN SEP Y JUN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2" l="1"/>
  <c r="L62" i="12"/>
  <c r="K62" i="12"/>
  <c r="F52" i="12"/>
  <c r="F15" i="12" l="1"/>
  <c r="F14" i="12" s="1"/>
  <c r="E14" i="12"/>
  <c r="D14" i="12"/>
  <c r="F51" i="10" l="1"/>
  <c r="L10" i="10" l="1"/>
  <c r="K22" i="10"/>
  <c r="L22" i="10"/>
  <c r="M23" i="10"/>
  <c r="N23" i="10" s="1"/>
  <c r="K26" i="10"/>
  <c r="L26" i="10"/>
  <c r="M27" i="10"/>
  <c r="N27" i="10" s="1"/>
  <c r="M28" i="10"/>
  <c r="N28" i="10" s="1"/>
  <c r="M29" i="10"/>
  <c r="N29" i="10" s="1"/>
  <c r="M22" i="10" l="1"/>
  <c r="N22" i="10" s="1"/>
  <c r="M26" i="10"/>
  <c r="N26" i="10" s="1"/>
  <c r="L61" i="10"/>
  <c r="K61" i="10"/>
  <c r="F15" i="10" l="1"/>
  <c r="F14" i="10" s="1"/>
  <c r="E14" i="10"/>
  <c r="D14" i="10"/>
  <c r="D16" i="10"/>
  <c r="E16" i="10"/>
  <c r="F17" i="10"/>
  <c r="F18" i="10"/>
  <c r="G18" i="10" s="1"/>
  <c r="F19" i="10"/>
  <c r="G19" i="10" s="1"/>
  <c r="F20" i="10"/>
  <c r="G20" i="10" s="1"/>
  <c r="D22" i="10"/>
  <c r="E22" i="10"/>
  <c r="F23" i="10"/>
  <c r="F24" i="10"/>
  <c r="G24" i="10" s="1"/>
  <c r="F25" i="10"/>
  <c r="G25" i="10" s="1"/>
  <c r="D26" i="10"/>
  <c r="E26" i="10"/>
  <c r="F27" i="10"/>
  <c r="F26" i="10" s="1"/>
  <c r="M16" i="10"/>
  <c r="N16" i="10" s="1"/>
  <c r="G26" i="10" l="1"/>
  <c r="F22" i="10"/>
  <c r="G22" i="10" s="1"/>
  <c r="F16" i="10"/>
  <c r="G16" i="10" s="1"/>
  <c r="G23" i="10"/>
  <c r="G27" i="10"/>
  <c r="K10" i="10"/>
  <c r="E16" i="12" l="1"/>
  <c r="D16" i="12"/>
  <c r="F19" i="12"/>
  <c r="F20" i="12"/>
  <c r="F18" i="12"/>
  <c r="G18" i="12" s="1"/>
  <c r="F17" i="12"/>
  <c r="G17" i="12" s="1"/>
  <c r="M66" i="12" l="1"/>
  <c r="N66" i="12" s="1"/>
  <c r="M65" i="12"/>
  <c r="N65" i="12" s="1"/>
  <c r="F65" i="12"/>
  <c r="G65" i="12" s="1"/>
  <c r="L64" i="12"/>
  <c r="K64" i="12"/>
  <c r="E64" i="12"/>
  <c r="D64" i="12"/>
  <c r="M63" i="12"/>
  <c r="N63" i="12" s="1"/>
  <c r="M61" i="12"/>
  <c r="N61" i="12" s="1"/>
  <c r="M60" i="12"/>
  <c r="N60" i="12" s="1"/>
  <c r="F60" i="12"/>
  <c r="G60" i="12" s="1"/>
  <c r="M59" i="12"/>
  <c r="F59" i="12"/>
  <c r="L58" i="12"/>
  <c r="K58" i="12"/>
  <c r="E58" i="12"/>
  <c r="D58" i="12"/>
  <c r="F55" i="12"/>
  <c r="G55" i="12" s="1"/>
  <c r="F54" i="12"/>
  <c r="G54" i="12" s="1"/>
  <c r="F53" i="12"/>
  <c r="G53" i="12" s="1"/>
  <c r="R49" i="12"/>
  <c r="F51" i="12"/>
  <c r="R48" i="12"/>
  <c r="M50" i="12"/>
  <c r="N50" i="12" s="1"/>
  <c r="E50" i="12"/>
  <c r="D50" i="12"/>
  <c r="M49" i="12"/>
  <c r="N49" i="12" s="1"/>
  <c r="F49" i="12"/>
  <c r="G49" i="12" s="1"/>
  <c r="R46" i="12"/>
  <c r="L48" i="12"/>
  <c r="L45" i="12" s="1"/>
  <c r="E48" i="12"/>
  <c r="D48" i="12"/>
  <c r="F47" i="12"/>
  <c r="G47" i="12" s="1"/>
  <c r="F46" i="12"/>
  <c r="G46" i="12" s="1"/>
  <c r="F45" i="12"/>
  <c r="G45" i="12" s="1"/>
  <c r="F44" i="12"/>
  <c r="G44" i="12" s="1"/>
  <c r="F43" i="12"/>
  <c r="G43" i="12" s="1"/>
  <c r="F42" i="12"/>
  <c r="G42" i="12" s="1"/>
  <c r="F41" i="12"/>
  <c r="G41" i="12" s="1"/>
  <c r="F40" i="12"/>
  <c r="G40" i="12" s="1"/>
  <c r="P37" i="12"/>
  <c r="M39" i="12"/>
  <c r="N39" i="12" s="1"/>
  <c r="F39" i="12"/>
  <c r="G39" i="12" s="1"/>
  <c r="L38" i="12"/>
  <c r="K38" i="12"/>
  <c r="F38" i="12"/>
  <c r="G38" i="12" s="1"/>
  <c r="F37" i="12"/>
  <c r="G37" i="12" s="1"/>
  <c r="R34" i="12"/>
  <c r="M36" i="12"/>
  <c r="N36" i="12" s="1"/>
  <c r="F36" i="12"/>
  <c r="G36" i="12" s="1"/>
  <c r="L35" i="12"/>
  <c r="K35" i="12"/>
  <c r="F35" i="12"/>
  <c r="G35" i="12" s="1"/>
  <c r="F34" i="12"/>
  <c r="G34" i="12" s="1"/>
  <c r="E33" i="12"/>
  <c r="D33" i="12"/>
  <c r="P53" i="12" s="1"/>
  <c r="F32" i="12"/>
  <c r="G32" i="12" s="1"/>
  <c r="F31" i="12"/>
  <c r="G31" i="12" s="1"/>
  <c r="E30" i="12"/>
  <c r="D30" i="12"/>
  <c r="M28" i="12"/>
  <c r="N28" i="12" s="1"/>
  <c r="M27" i="12"/>
  <c r="M26" i="12"/>
  <c r="N26" i="12" s="1"/>
  <c r="F28" i="12"/>
  <c r="L25" i="12"/>
  <c r="K25" i="12"/>
  <c r="S28" i="12" s="1"/>
  <c r="E27" i="12"/>
  <c r="D27" i="12"/>
  <c r="F26" i="12"/>
  <c r="G26" i="12" s="1"/>
  <c r="P23" i="12"/>
  <c r="F25" i="12"/>
  <c r="G25" i="12" s="1"/>
  <c r="P22" i="12"/>
  <c r="M22" i="12"/>
  <c r="N22" i="12" s="1"/>
  <c r="F24" i="12"/>
  <c r="G24" i="12" s="1"/>
  <c r="P21" i="12"/>
  <c r="L21" i="12"/>
  <c r="K21" i="12"/>
  <c r="S24" i="12" s="1"/>
  <c r="E23" i="12"/>
  <c r="D23" i="12"/>
  <c r="M19" i="12"/>
  <c r="N19" i="12" s="1"/>
  <c r="F21" i="12"/>
  <c r="G21" i="12" s="1"/>
  <c r="S18" i="12"/>
  <c r="L18" i="12"/>
  <c r="K18" i="12"/>
  <c r="S21" i="12" s="1"/>
  <c r="G20" i="12"/>
  <c r="P17" i="12"/>
  <c r="G19" i="12"/>
  <c r="M16" i="12"/>
  <c r="N16" i="12" s="1"/>
  <c r="M15" i="12"/>
  <c r="N15" i="12" s="1"/>
  <c r="M14" i="12"/>
  <c r="N14" i="12" s="1"/>
  <c r="M13" i="12"/>
  <c r="N13" i="12" s="1"/>
  <c r="F13" i="12"/>
  <c r="G13" i="12" s="1"/>
  <c r="M12" i="12"/>
  <c r="N12" i="12" s="1"/>
  <c r="F12" i="12"/>
  <c r="G12" i="12" s="1"/>
  <c r="M11" i="12"/>
  <c r="N11" i="12" s="1"/>
  <c r="F11" i="12"/>
  <c r="G11" i="12" s="1"/>
  <c r="L10" i="12"/>
  <c r="K10" i="12"/>
  <c r="E10" i="12"/>
  <c r="D10" i="12"/>
  <c r="D9" i="12" s="1"/>
  <c r="F21" i="6"/>
  <c r="F20" i="6" s="1"/>
  <c r="E9" i="12" l="1"/>
  <c r="D29" i="12"/>
  <c r="L33" i="12"/>
  <c r="F48" i="12"/>
  <c r="G48" i="12" s="1"/>
  <c r="K33" i="12"/>
  <c r="F10" i="12"/>
  <c r="P40" i="12"/>
  <c r="P51" i="12"/>
  <c r="K9" i="12"/>
  <c r="K41" i="12" s="1"/>
  <c r="D85" i="12"/>
  <c r="F50" i="12"/>
  <c r="G50" i="12" s="1"/>
  <c r="G51" i="12"/>
  <c r="N62" i="12"/>
  <c r="F64" i="12"/>
  <c r="G64" i="12" s="1"/>
  <c r="P49" i="12"/>
  <c r="P50" i="12"/>
  <c r="P42" i="12"/>
  <c r="P46" i="12"/>
  <c r="P47" i="12"/>
  <c r="P48" i="12"/>
  <c r="F16" i="12"/>
  <c r="G16" i="12" s="1"/>
  <c r="K57" i="12"/>
  <c r="D57" i="12"/>
  <c r="L57" i="12"/>
  <c r="M38" i="12"/>
  <c r="N38" i="12" s="1"/>
  <c r="M21" i="12"/>
  <c r="N21" i="12" s="1"/>
  <c r="M18" i="12"/>
  <c r="N18" i="12" s="1"/>
  <c r="E29" i="12"/>
  <c r="E57" i="12"/>
  <c r="G28" i="12"/>
  <c r="F27" i="12"/>
  <c r="G27" i="12" s="1"/>
  <c r="R13" i="12"/>
  <c r="R19" i="12"/>
  <c r="M64" i="12"/>
  <c r="N64" i="12" s="1"/>
  <c r="L9" i="12"/>
  <c r="L41" i="12" s="1"/>
  <c r="R17" i="12"/>
  <c r="F23" i="12"/>
  <c r="F33" i="12"/>
  <c r="G33" i="12" s="1"/>
  <c r="M35" i="12"/>
  <c r="M10" i="12"/>
  <c r="S12" i="12"/>
  <c r="R15" i="12"/>
  <c r="R16" i="12"/>
  <c r="R18" i="12"/>
  <c r="N27" i="12"/>
  <c r="M25" i="12"/>
  <c r="N25" i="12" s="1"/>
  <c r="F30" i="12"/>
  <c r="F58" i="12"/>
  <c r="G59" i="12"/>
  <c r="M58" i="12"/>
  <c r="F9" i="12" l="1"/>
  <c r="G10" i="12"/>
  <c r="D86" i="12"/>
  <c r="P9" i="12"/>
  <c r="P12" i="12"/>
  <c r="D56" i="12"/>
  <c r="P39" i="12" s="1"/>
  <c r="P16" i="12"/>
  <c r="P13" i="12"/>
  <c r="P25" i="12"/>
  <c r="P30" i="12"/>
  <c r="D81" i="12"/>
  <c r="D80" i="12"/>
  <c r="M57" i="12"/>
  <c r="N58" i="12"/>
  <c r="G30" i="12"/>
  <c r="F29" i="12"/>
  <c r="G29" i="12" s="1"/>
  <c r="E81" i="12"/>
  <c r="E80" i="12"/>
  <c r="E56" i="12"/>
  <c r="E83" i="12" s="1"/>
  <c r="G23" i="12"/>
  <c r="Q42" i="12"/>
  <c r="G58" i="12"/>
  <c r="F57" i="12"/>
  <c r="N35" i="12"/>
  <c r="M33" i="12"/>
  <c r="N33" i="12" s="1"/>
  <c r="N10" i="12"/>
  <c r="M9" i="12"/>
  <c r="L56" i="12"/>
  <c r="Q55" i="12" l="1"/>
  <c r="I81" i="12"/>
  <c r="K81" i="12" s="1"/>
  <c r="Q9" i="12"/>
  <c r="D83" i="12"/>
  <c r="I83" i="12" s="1"/>
  <c r="K83" i="12" s="1"/>
  <c r="I80" i="12"/>
  <c r="K80" i="12" s="1"/>
  <c r="Z54" i="12"/>
  <c r="M41" i="12"/>
  <c r="N9" i="12"/>
  <c r="F56" i="12"/>
  <c r="G56" i="12" s="1"/>
  <c r="G9" i="12"/>
  <c r="N41" i="12" l="1"/>
  <c r="E18" i="6" l="1"/>
  <c r="G21" i="6"/>
  <c r="F74" i="6" l="1"/>
  <c r="M63" i="10" l="1"/>
  <c r="D18" i="6"/>
  <c r="E20" i="6"/>
  <c r="D20" i="6"/>
  <c r="E49" i="10" l="1"/>
  <c r="D49" i="10"/>
  <c r="F52" i="10"/>
  <c r="G52" i="10" s="1"/>
  <c r="F53" i="10"/>
  <c r="G53" i="10" s="1"/>
  <c r="F54" i="10"/>
  <c r="G54" i="10" s="1"/>
  <c r="E32" i="10"/>
  <c r="D32" i="10"/>
  <c r="F46" i="10"/>
  <c r="M38" i="10" l="1"/>
  <c r="N38" i="10" s="1"/>
  <c r="L37" i="10"/>
  <c r="K37" i="10"/>
  <c r="M37" i="10" l="1"/>
  <c r="N37" i="10" s="1"/>
  <c r="F48" i="6" l="1"/>
  <c r="G48" i="6" s="1"/>
  <c r="D14" i="6"/>
  <c r="E14" i="6"/>
  <c r="F15" i="6"/>
  <c r="G15" i="6" s="1"/>
  <c r="F50" i="10"/>
  <c r="G50" i="10" s="1"/>
  <c r="M66" i="10" l="1"/>
  <c r="N66" i="10" s="1"/>
  <c r="M57" i="11" l="1"/>
  <c r="N57" i="11" s="1"/>
  <c r="M63" i="11"/>
  <c r="M62" i="11"/>
  <c r="F62" i="11"/>
  <c r="F61" i="11" s="1"/>
  <c r="L61" i="11"/>
  <c r="K61" i="11"/>
  <c r="E61" i="11"/>
  <c r="D61" i="11"/>
  <c r="M60" i="11"/>
  <c r="M59" i="11" s="1"/>
  <c r="L59" i="11"/>
  <c r="K59" i="11"/>
  <c r="F57" i="11"/>
  <c r="G57" i="11" s="1"/>
  <c r="M56" i="11"/>
  <c r="N56" i="11" s="1"/>
  <c r="F56" i="11"/>
  <c r="G56" i="11" s="1"/>
  <c r="L55" i="11"/>
  <c r="K55" i="11"/>
  <c r="E55" i="11"/>
  <c r="D55" i="11"/>
  <c r="F52" i="11"/>
  <c r="G52" i="11" s="1"/>
  <c r="F51" i="11"/>
  <c r="G51" i="11" s="1"/>
  <c r="F50" i="11"/>
  <c r="R49" i="11"/>
  <c r="L46" i="11"/>
  <c r="L44" i="11" s="1"/>
  <c r="R48" i="11"/>
  <c r="M48" i="11"/>
  <c r="N48" i="11" s="1"/>
  <c r="E48" i="11"/>
  <c r="D48" i="11"/>
  <c r="M47" i="11"/>
  <c r="F47" i="11"/>
  <c r="G47" i="11" s="1"/>
  <c r="R46" i="11"/>
  <c r="E46" i="11"/>
  <c r="D46" i="11"/>
  <c r="F45" i="11"/>
  <c r="G45" i="11" s="1"/>
  <c r="F44" i="11"/>
  <c r="G44" i="11" s="1"/>
  <c r="F43" i="11"/>
  <c r="G43" i="11" s="1"/>
  <c r="F42" i="11"/>
  <c r="G42" i="11" s="1"/>
  <c r="F41" i="11"/>
  <c r="G41" i="11" s="1"/>
  <c r="F40" i="11"/>
  <c r="G40" i="11" s="1"/>
  <c r="F39" i="11"/>
  <c r="G39" i="11" s="1"/>
  <c r="P38" i="11"/>
  <c r="F38" i="11"/>
  <c r="G38" i="11" s="1"/>
  <c r="F37" i="11"/>
  <c r="G37" i="11" s="1"/>
  <c r="F36" i="11"/>
  <c r="G36" i="11" s="1"/>
  <c r="R35" i="11"/>
  <c r="M35" i="11"/>
  <c r="N35" i="11" s="1"/>
  <c r="F35" i="11"/>
  <c r="G35" i="11" s="1"/>
  <c r="L34" i="11"/>
  <c r="K34" i="11"/>
  <c r="K32" i="11" s="1"/>
  <c r="F34" i="11"/>
  <c r="G34" i="11" s="1"/>
  <c r="F33" i="11"/>
  <c r="E32" i="11"/>
  <c r="D32" i="11"/>
  <c r="P41" i="11" s="1"/>
  <c r="F31" i="11"/>
  <c r="G31" i="11" s="1"/>
  <c r="F30" i="11"/>
  <c r="E29" i="11"/>
  <c r="D29" i="11"/>
  <c r="M28" i="11"/>
  <c r="N28" i="11" s="1"/>
  <c r="M27" i="11"/>
  <c r="N27" i="11" s="1"/>
  <c r="F27" i="11"/>
  <c r="G27" i="11" s="1"/>
  <c r="M26" i="11"/>
  <c r="N26" i="11" s="1"/>
  <c r="E26" i="11"/>
  <c r="D26" i="11"/>
  <c r="L25" i="11"/>
  <c r="K25" i="11"/>
  <c r="S28" i="11" s="1"/>
  <c r="F25" i="11"/>
  <c r="G25" i="11" s="1"/>
  <c r="F24" i="11"/>
  <c r="G24" i="11" s="1"/>
  <c r="P23" i="11"/>
  <c r="F23" i="11"/>
  <c r="G23" i="11" s="1"/>
  <c r="P22" i="11"/>
  <c r="M22" i="11"/>
  <c r="N22" i="11" s="1"/>
  <c r="E22" i="11"/>
  <c r="D22" i="11"/>
  <c r="P21" i="11"/>
  <c r="L21" i="11"/>
  <c r="K21" i="11"/>
  <c r="S24" i="11" s="1"/>
  <c r="F21" i="11"/>
  <c r="G21" i="11" s="1"/>
  <c r="F20" i="11"/>
  <c r="G20" i="11" s="1"/>
  <c r="M19" i="11"/>
  <c r="M18" i="11" s="1"/>
  <c r="F19" i="11"/>
  <c r="G19" i="11" s="1"/>
  <c r="S18" i="11"/>
  <c r="L18" i="11"/>
  <c r="K18" i="11"/>
  <c r="S21" i="11" s="1"/>
  <c r="F18" i="11"/>
  <c r="P17" i="11"/>
  <c r="M16" i="11"/>
  <c r="N16" i="11" s="1"/>
  <c r="E16" i="11"/>
  <c r="D16" i="11"/>
  <c r="M15" i="11"/>
  <c r="N15" i="11" s="1"/>
  <c r="F15" i="11"/>
  <c r="F14" i="11" s="1"/>
  <c r="M14" i="11"/>
  <c r="N14" i="11" s="1"/>
  <c r="E14" i="11"/>
  <c r="D14" i="11"/>
  <c r="M13" i="11"/>
  <c r="N13" i="11" s="1"/>
  <c r="F13" i="11"/>
  <c r="G13" i="11" s="1"/>
  <c r="M12" i="11"/>
  <c r="N12" i="11" s="1"/>
  <c r="F12" i="11"/>
  <c r="G12" i="11" s="1"/>
  <c r="M11" i="11"/>
  <c r="N11" i="11" s="1"/>
  <c r="F11" i="11"/>
  <c r="G11" i="11" s="1"/>
  <c r="L10" i="11"/>
  <c r="K10" i="11"/>
  <c r="R13" i="11" s="1"/>
  <c r="E10" i="11"/>
  <c r="D10" i="11"/>
  <c r="N18" i="11" l="1"/>
  <c r="F29" i="11"/>
  <c r="M34" i="11"/>
  <c r="G61" i="11"/>
  <c r="G14" i="11"/>
  <c r="D54" i="11"/>
  <c r="K9" i="11"/>
  <c r="D9" i="11"/>
  <c r="N34" i="11"/>
  <c r="G15" i="11"/>
  <c r="K54" i="11"/>
  <c r="F46" i="11"/>
  <c r="G46" i="11" s="1"/>
  <c r="D28" i="11"/>
  <c r="M61" i="11"/>
  <c r="N61" i="11" s="1"/>
  <c r="M55" i="11"/>
  <c r="N55" i="11" s="1"/>
  <c r="L54" i="11"/>
  <c r="K40" i="11"/>
  <c r="M32" i="11"/>
  <c r="L32" i="11"/>
  <c r="M25" i="11"/>
  <c r="N25" i="11" s="1"/>
  <c r="M21" i="11"/>
  <c r="N21" i="11" s="1"/>
  <c r="L9" i="11"/>
  <c r="N19" i="11"/>
  <c r="G62" i="11"/>
  <c r="E54" i="11"/>
  <c r="D53" i="11"/>
  <c r="E28" i="11"/>
  <c r="F32" i="11"/>
  <c r="G32" i="11" s="1"/>
  <c r="F16" i="11"/>
  <c r="G16" i="11" s="1"/>
  <c r="P12" i="11"/>
  <c r="E9" i="11"/>
  <c r="F10" i="11"/>
  <c r="G10" i="11" s="1"/>
  <c r="G29" i="11"/>
  <c r="Q54" i="11"/>
  <c r="M10" i="11"/>
  <c r="G18" i="11"/>
  <c r="P46" i="11"/>
  <c r="P52" i="11"/>
  <c r="R15" i="11"/>
  <c r="R16" i="11"/>
  <c r="F48" i="11"/>
  <c r="G48" i="11" s="1"/>
  <c r="P50" i="11"/>
  <c r="F55" i="11"/>
  <c r="N62" i="11"/>
  <c r="P9" i="11"/>
  <c r="P13" i="11"/>
  <c r="F22" i="11"/>
  <c r="G22" i="11" s="1"/>
  <c r="G30" i="11"/>
  <c r="D78" i="11"/>
  <c r="Q9" i="11"/>
  <c r="S12" i="11"/>
  <c r="R19" i="11"/>
  <c r="P31" i="11"/>
  <c r="D77" i="11"/>
  <c r="R18" i="11"/>
  <c r="G33" i="11"/>
  <c r="N47" i="11"/>
  <c r="P51" i="11"/>
  <c r="F26" i="11"/>
  <c r="G26" i="11" s="1"/>
  <c r="R17" i="11"/>
  <c r="P40" i="11"/>
  <c r="P43" i="11"/>
  <c r="P47" i="11"/>
  <c r="P48" i="11"/>
  <c r="P49" i="11"/>
  <c r="Q43" i="11"/>
  <c r="D82" i="11"/>
  <c r="D83" i="11" s="1"/>
  <c r="P16" i="11"/>
  <c r="P25" i="11"/>
  <c r="N32" i="11" l="1"/>
  <c r="M54" i="11"/>
  <c r="L40" i="11"/>
  <c r="L53" i="11" s="1"/>
  <c r="D80" i="11"/>
  <c r="E77" i="11"/>
  <c r="I77" i="11" s="1"/>
  <c r="K77" i="11" s="1"/>
  <c r="F28" i="11"/>
  <c r="G28" i="11" s="1"/>
  <c r="E53" i="11"/>
  <c r="E80" i="11" s="1"/>
  <c r="E78" i="11"/>
  <c r="I78" i="11" s="1"/>
  <c r="K78" i="11" s="1"/>
  <c r="F9" i="11"/>
  <c r="G55" i="11"/>
  <c r="F54" i="11"/>
  <c r="M9" i="11"/>
  <c r="N10" i="11"/>
  <c r="I80" i="11" l="1"/>
  <c r="K80" i="11" s="1"/>
  <c r="M40" i="11"/>
  <c r="N9" i="11"/>
  <c r="F53" i="11"/>
  <c r="G53" i="11" s="1"/>
  <c r="G9" i="11"/>
  <c r="N40" i="11" l="1"/>
  <c r="E62" i="6" l="1"/>
  <c r="D62" i="6"/>
  <c r="M62" i="10" l="1"/>
  <c r="M61" i="10" s="1"/>
  <c r="N62" i="10" l="1"/>
  <c r="N61" i="10"/>
  <c r="F12" i="10" l="1"/>
  <c r="G12" i="10" s="1"/>
  <c r="F13" i="10"/>
  <c r="G13" i="10" s="1"/>
  <c r="D10" i="10" l="1"/>
  <c r="D9" i="10" s="1"/>
  <c r="F11" i="10"/>
  <c r="G11" i="10" s="1"/>
  <c r="M48" i="10" l="1"/>
  <c r="N48" i="10" s="1"/>
  <c r="M49" i="10"/>
  <c r="N49" i="10" s="1"/>
  <c r="M35" i="10"/>
  <c r="N35" i="10" s="1"/>
  <c r="E29" i="10"/>
  <c r="D29" i="10"/>
  <c r="F31" i="10"/>
  <c r="G31" i="10" s="1"/>
  <c r="F30" i="10"/>
  <c r="G30" i="10" s="1"/>
  <c r="F29" i="10" l="1"/>
  <c r="G29" i="10" s="1"/>
  <c r="F71" i="6" l="1"/>
  <c r="G71" i="6" s="1"/>
  <c r="F33" i="10" l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D47" i="10"/>
  <c r="E47" i="10"/>
  <c r="F48" i="10"/>
  <c r="G48" i="10" s="1"/>
  <c r="D57" i="10"/>
  <c r="E57" i="10"/>
  <c r="F58" i="10"/>
  <c r="G58" i="10" s="1"/>
  <c r="F59" i="10"/>
  <c r="G59" i="10" s="1"/>
  <c r="D64" i="10"/>
  <c r="E64" i="10"/>
  <c r="F65" i="10"/>
  <c r="G65" i="10" s="1"/>
  <c r="D24" i="6"/>
  <c r="G33" i="10" l="1"/>
  <c r="F32" i="10"/>
  <c r="G32" i="10" s="1"/>
  <c r="E28" i="10"/>
  <c r="D28" i="10"/>
  <c r="F57" i="10"/>
  <c r="G57" i="10" s="1"/>
  <c r="E56" i="10"/>
  <c r="D56" i="10"/>
  <c r="F64" i="10"/>
  <c r="G64" i="10" s="1"/>
  <c r="F49" i="10"/>
  <c r="G49" i="10" s="1"/>
  <c r="F47" i="10"/>
  <c r="G47" i="10" s="1"/>
  <c r="K34" i="10"/>
  <c r="L34" i="10"/>
  <c r="M34" i="10"/>
  <c r="F28" i="10" l="1"/>
  <c r="G28" i="10" s="1"/>
  <c r="L32" i="10"/>
  <c r="K32" i="10"/>
  <c r="F56" i="10"/>
  <c r="M32" i="10"/>
  <c r="N34" i="10"/>
  <c r="N32" i="10" l="1"/>
  <c r="K18" i="10" l="1"/>
  <c r="K9" i="10" s="1"/>
  <c r="L18" i="10"/>
  <c r="L9" i="10" s="1"/>
  <c r="M60" i="10" l="1"/>
  <c r="N60" i="10" s="1"/>
  <c r="L57" i="10"/>
  <c r="K57" i="10"/>
  <c r="D52" i="6" l="1"/>
  <c r="E52" i="6"/>
  <c r="F53" i="6"/>
  <c r="G53" i="6" s="1"/>
  <c r="D42" i="6" l="1"/>
  <c r="D40" i="6" s="1"/>
  <c r="D70" i="6"/>
  <c r="D69" i="6" s="1"/>
  <c r="M69" i="6" s="1"/>
  <c r="K16" i="6"/>
  <c r="L16" i="6" s="1"/>
  <c r="P16" i="6" s="1"/>
  <c r="K22" i="6"/>
  <c r="L22" i="6" s="1"/>
  <c r="P22" i="6" s="1"/>
  <c r="D28" i="6"/>
  <c r="D10" i="6" s="1"/>
  <c r="D61" i="6"/>
  <c r="E24" i="6"/>
  <c r="E28" i="6"/>
  <c r="E34" i="6"/>
  <c r="E37" i="6"/>
  <c r="E42" i="6"/>
  <c r="E40" i="6" s="1"/>
  <c r="E61" i="6"/>
  <c r="E70" i="6"/>
  <c r="E69" i="6" s="1"/>
  <c r="D34" i="6"/>
  <c r="K32" i="6" s="1"/>
  <c r="L32" i="6" s="1"/>
  <c r="P32" i="6" s="1"/>
  <c r="D37" i="6"/>
  <c r="F73" i="6"/>
  <c r="G73" i="6" s="1"/>
  <c r="F38" i="6"/>
  <c r="F37" i="6" s="1"/>
  <c r="M65" i="10"/>
  <c r="M64" i="10" s="1"/>
  <c r="L64" i="10"/>
  <c r="L56" i="10" s="1"/>
  <c r="K64" i="10"/>
  <c r="K56" i="10" s="1"/>
  <c r="M59" i="10"/>
  <c r="N59" i="10" s="1"/>
  <c r="M58" i="10"/>
  <c r="F72" i="6"/>
  <c r="G72" i="6" s="1"/>
  <c r="F67" i="6"/>
  <c r="G67" i="6" s="1"/>
  <c r="F30" i="6"/>
  <c r="G30" i="6" s="1"/>
  <c r="E10" i="10"/>
  <c r="E9" i="10" s="1"/>
  <c r="F57" i="6"/>
  <c r="G57" i="6" s="1"/>
  <c r="F54" i="6"/>
  <c r="G54" i="6" s="1"/>
  <c r="F29" i="6"/>
  <c r="G29" i="6" s="1"/>
  <c r="F56" i="6"/>
  <c r="G56" i="6" s="1"/>
  <c r="F55" i="6"/>
  <c r="G55" i="6" s="1"/>
  <c r="F50" i="6"/>
  <c r="G50" i="6" s="1"/>
  <c r="F49" i="6"/>
  <c r="G49" i="6" s="1"/>
  <c r="M15" i="10"/>
  <c r="N15" i="10" s="1"/>
  <c r="R19" i="10"/>
  <c r="P43" i="10"/>
  <c r="D55" i="10"/>
  <c r="M19" i="10"/>
  <c r="M18" i="10" s="1"/>
  <c r="M14" i="10"/>
  <c r="N14" i="10" s="1"/>
  <c r="P22" i="10"/>
  <c r="M13" i="10"/>
  <c r="N13" i="10" s="1"/>
  <c r="M12" i="10"/>
  <c r="N12" i="10" s="1"/>
  <c r="M11" i="10"/>
  <c r="P23" i="10"/>
  <c r="P17" i="10"/>
  <c r="P21" i="10"/>
  <c r="F75" i="6"/>
  <c r="G75" i="6" s="1"/>
  <c r="F66" i="6"/>
  <c r="G66" i="6" s="1"/>
  <c r="F64" i="6"/>
  <c r="F47" i="6"/>
  <c r="G47" i="6" s="1"/>
  <c r="F46" i="6"/>
  <c r="G46" i="6" s="1"/>
  <c r="F45" i="6"/>
  <c r="G45" i="6" s="1"/>
  <c r="F44" i="6"/>
  <c r="G44" i="6" s="1"/>
  <c r="F43" i="6"/>
  <c r="G43" i="6" s="1"/>
  <c r="F35" i="6"/>
  <c r="G35" i="6" s="1"/>
  <c r="F26" i="6"/>
  <c r="G26" i="6" s="1"/>
  <c r="F25" i="6"/>
  <c r="G25" i="6" s="1"/>
  <c r="F19" i="6"/>
  <c r="F16" i="6"/>
  <c r="F14" i="6" s="1"/>
  <c r="G14" i="6" s="1"/>
  <c r="J81" i="6"/>
  <c r="J80" i="6"/>
  <c r="J79" i="6"/>
  <c r="K71" i="6"/>
  <c r="L71" i="6" s="1"/>
  <c r="P71" i="6" s="1"/>
  <c r="K66" i="6"/>
  <c r="L66" i="6" s="1"/>
  <c r="P66" i="6" s="1"/>
  <c r="K65" i="6"/>
  <c r="L65" i="6" s="1"/>
  <c r="P65" i="6" s="1"/>
  <c r="P63" i="6"/>
  <c r="K63" i="6"/>
  <c r="K57" i="6"/>
  <c r="L57" i="6" s="1"/>
  <c r="P57" i="6" s="1"/>
  <c r="P55" i="6"/>
  <c r="K55" i="6"/>
  <c r="K52" i="6"/>
  <c r="L52" i="6" s="1"/>
  <c r="P52" i="6" s="1"/>
  <c r="K51" i="6"/>
  <c r="L51" i="6" s="1"/>
  <c r="P51" i="6" s="1"/>
  <c r="P50" i="6"/>
  <c r="K50" i="6"/>
  <c r="K49" i="6"/>
  <c r="L49" i="6" s="1"/>
  <c r="P49" i="6" s="1"/>
  <c r="K47" i="6"/>
  <c r="L47" i="6" s="1"/>
  <c r="P47" i="6" s="1"/>
  <c r="K45" i="6"/>
  <c r="L45" i="6" s="1"/>
  <c r="P45" i="6" s="1"/>
  <c r="K43" i="6"/>
  <c r="L43" i="6" s="1"/>
  <c r="P43" i="6" s="1"/>
  <c r="K42" i="6"/>
  <c r="L42" i="6" s="1"/>
  <c r="P42" i="6" s="1"/>
  <c r="M47" i="6"/>
  <c r="P40" i="6"/>
  <c r="K40" i="6"/>
  <c r="P38" i="6"/>
  <c r="K38" i="6"/>
  <c r="K37" i="6"/>
  <c r="L37" i="6" s="1"/>
  <c r="P37" i="6" s="1"/>
  <c r="K36" i="6"/>
  <c r="L36" i="6" s="1"/>
  <c r="P36" i="6" s="1"/>
  <c r="K34" i="6"/>
  <c r="L34" i="6" s="1"/>
  <c r="P34" i="6" s="1"/>
  <c r="K33" i="6"/>
  <c r="L33" i="6" s="1"/>
  <c r="P33" i="6" s="1"/>
  <c r="P30" i="6"/>
  <c r="K30" i="6"/>
  <c r="P28" i="6"/>
  <c r="K28" i="6"/>
  <c r="K25" i="6"/>
  <c r="L25" i="6" s="1"/>
  <c r="P25" i="6" s="1"/>
  <c r="K24" i="6"/>
  <c r="L24" i="6" s="1"/>
  <c r="P24" i="6" s="1"/>
  <c r="P23" i="6"/>
  <c r="K23" i="6"/>
  <c r="K19" i="6"/>
  <c r="L19" i="6" s="1"/>
  <c r="P19" i="6" s="1"/>
  <c r="K18" i="6"/>
  <c r="L18" i="6" s="1"/>
  <c r="P18" i="6" s="1"/>
  <c r="P17" i="6"/>
  <c r="K17" i="6"/>
  <c r="K14" i="6"/>
  <c r="L14" i="6" s="1"/>
  <c r="P14" i="6" s="1"/>
  <c r="K13" i="6"/>
  <c r="L13" i="6" s="1"/>
  <c r="P13" i="6" s="1"/>
  <c r="P11" i="6"/>
  <c r="K11" i="6"/>
  <c r="E100" i="6"/>
  <c r="E93" i="6" s="1"/>
  <c r="K64" i="6"/>
  <c r="L64" i="6" s="1"/>
  <c r="P64" i="6" s="1"/>
  <c r="M64" i="6"/>
  <c r="M65" i="6"/>
  <c r="M66" i="6"/>
  <c r="M71" i="6"/>
  <c r="I85" i="6"/>
  <c r="J85" i="6" s="1"/>
  <c r="K39" i="6"/>
  <c r="L39" i="6" s="1"/>
  <c r="P39" i="6" s="1"/>
  <c r="K41" i="6"/>
  <c r="L41" i="6" s="1"/>
  <c r="P41" i="6" s="1"/>
  <c r="M41" i="6"/>
  <c r="M42" i="6"/>
  <c r="M43" i="6"/>
  <c r="M45" i="6"/>
  <c r="M57" i="6"/>
  <c r="E101" i="6"/>
  <c r="I83" i="6"/>
  <c r="J83" i="6" s="1"/>
  <c r="I84" i="6"/>
  <c r="J84" i="6" s="1"/>
  <c r="E104" i="6"/>
  <c r="K12" i="6"/>
  <c r="L12" i="6" s="1"/>
  <c r="P12" i="6" s="1"/>
  <c r="D99" i="6"/>
  <c r="E103" i="6"/>
  <c r="D103" i="6"/>
  <c r="D100" i="6"/>
  <c r="K73" i="6"/>
  <c r="L73" i="6" s="1"/>
  <c r="P73" i="6" s="1"/>
  <c r="D101" i="6"/>
  <c r="D104" i="6"/>
  <c r="K83" i="6" l="1"/>
  <c r="G19" i="6"/>
  <c r="F18" i="6"/>
  <c r="N11" i="10"/>
  <c r="M10" i="10"/>
  <c r="M9" i="10" s="1"/>
  <c r="E10" i="6"/>
  <c r="E96" i="6"/>
  <c r="G64" i="6"/>
  <c r="F62" i="6"/>
  <c r="G62" i="6" s="1"/>
  <c r="N64" i="10"/>
  <c r="E55" i="10"/>
  <c r="F34" i="6"/>
  <c r="G34" i="6" s="1"/>
  <c r="E94" i="6"/>
  <c r="M70" i="6"/>
  <c r="K70" i="6"/>
  <c r="L70" i="6" s="1"/>
  <c r="P70" i="6" s="1"/>
  <c r="E172" i="6"/>
  <c r="D172" i="6"/>
  <c r="D98" i="6"/>
  <c r="D92" i="6" s="1"/>
  <c r="E113" i="6"/>
  <c r="E32" i="6"/>
  <c r="E98" i="6"/>
  <c r="E92" i="6" s="1"/>
  <c r="F24" i="6"/>
  <c r="E99" i="6"/>
  <c r="N58" i="10"/>
  <c r="M57" i="10"/>
  <c r="N57" i="10" s="1"/>
  <c r="D32" i="6"/>
  <c r="M37" i="6" s="1"/>
  <c r="K35" i="6"/>
  <c r="L35" i="6" s="1"/>
  <c r="P35" i="6" s="1"/>
  <c r="D95" i="6"/>
  <c r="K69" i="6"/>
  <c r="L69" i="6" s="1"/>
  <c r="P69" i="6" s="1"/>
  <c r="D94" i="6"/>
  <c r="D96" i="6"/>
  <c r="D93" i="6"/>
  <c r="K46" i="6"/>
  <c r="L46" i="6" s="1"/>
  <c r="P46" i="6" s="1"/>
  <c r="M46" i="6"/>
  <c r="D113" i="6"/>
  <c r="K44" i="6"/>
  <c r="L44" i="6" s="1"/>
  <c r="P44" i="6" s="1"/>
  <c r="M44" i="6"/>
  <c r="K62" i="6"/>
  <c r="L62" i="6" s="1"/>
  <c r="P62" i="6" s="1"/>
  <c r="M61" i="6"/>
  <c r="K61" i="6"/>
  <c r="L61" i="6" s="1"/>
  <c r="P61" i="6" s="1"/>
  <c r="I87" i="6"/>
  <c r="M62" i="6"/>
  <c r="F28" i="6"/>
  <c r="G28" i="6" s="1"/>
  <c r="P26" i="6"/>
  <c r="K26" i="6"/>
  <c r="P41" i="10"/>
  <c r="F70" i="6"/>
  <c r="E95" i="6"/>
  <c r="F52" i="6"/>
  <c r="G52" i="6" s="1"/>
  <c r="F42" i="6"/>
  <c r="G42" i="6" s="1"/>
  <c r="N19" i="10"/>
  <c r="R15" i="10"/>
  <c r="P50" i="10"/>
  <c r="P49" i="10"/>
  <c r="P48" i="10"/>
  <c r="L40" i="10"/>
  <c r="N65" i="10"/>
  <c r="N18" i="10"/>
  <c r="R17" i="10"/>
  <c r="R16" i="10"/>
  <c r="R18" i="10"/>
  <c r="P54" i="10"/>
  <c r="P47" i="10"/>
  <c r="P53" i="10"/>
  <c r="P52" i="10"/>
  <c r="R13" i="10"/>
  <c r="K40" i="10"/>
  <c r="D83" i="10" s="1"/>
  <c r="F10" i="10"/>
  <c r="F9" i="10" s="1"/>
  <c r="G37" i="6"/>
  <c r="G38" i="6"/>
  <c r="G24" i="6" l="1"/>
  <c r="E83" i="10"/>
  <c r="F55" i="10"/>
  <c r="G55" i="10" s="1"/>
  <c r="M56" i="10"/>
  <c r="F32" i="6"/>
  <c r="G32" i="6" s="1"/>
  <c r="F172" i="6"/>
  <c r="G172" i="6" s="1"/>
  <c r="D91" i="6"/>
  <c r="D90" i="6"/>
  <c r="F113" i="6"/>
  <c r="G113" i="6" s="1"/>
  <c r="E59" i="6"/>
  <c r="E77" i="6" s="1"/>
  <c r="L50" i="10" s="1"/>
  <c r="E169" i="6"/>
  <c r="D108" i="6"/>
  <c r="D169" i="6"/>
  <c r="G92" i="6"/>
  <c r="M26" i="6"/>
  <c r="M12" i="6"/>
  <c r="M23" i="6"/>
  <c r="E90" i="6"/>
  <c r="E91" i="6"/>
  <c r="K10" i="6"/>
  <c r="L10" i="6" s="1"/>
  <c r="P10" i="6" s="1"/>
  <c r="D59" i="6"/>
  <c r="M34" i="6"/>
  <c r="K31" i="6"/>
  <c r="L31" i="6" s="1"/>
  <c r="P31" i="6" s="1"/>
  <c r="N31" i="6"/>
  <c r="N39" i="6" s="1"/>
  <c r="M32" i="6"/>
  <c r="M35" i="6"/>
  <c r="M36" i="6"/>
  <c r="M33" i="6"/>
  <c r="M31" i="6"/>
  <c r="M10" i="6"/>
  <c r="M18" i="6"/>
  <c r="M24" i="6"/>
  <c r="F40" i="6"/>
  <c r="G40" i="6" s="1"/>
  <c r="F61" i="6"/>
  <c r="G61" i="6" s="1"/>
  <c r="J87" i="6"/>
  <c r="K87" i="6"/>
  <c r="P9" i="10"/>
  <c r="Q43" i="10"/>
  <c r="F69" i="6"/>
  <c r="G69" i="6" s="1"/>
  <c r="G70" i="6"/>
  <c r="E108" i="6"/>
  <c r="E80" i="10"/>
  <c r="P16" i="10"/>
  <c r="P13" i="10"/>
  <c r="P12" i="10"/>
  <c r="P25" i="10"/>
  <c r="P38" i="10"/>
  <c r="P31" i="10"/>
  <c r="D85" i="10"/>
  <c r="D86" i="10" s="1"/>
  <c r="E81" i="10"/>
  <c r="D81" i="10"/>
  <c r="S12" i="10"/>
  <c r="S18" i="10"/>
  <c r="S21" i="10"/>
  <c r="R35" i="10"/>
  <c r="S24" i="10"/>
  <c r="S28" i="10"/>
  <c r="D80" i="10"/>
  <c r="M40" i="10"/>
  <c r="N10" i="10"/>
  <c r="G10" i="10"/>
  <c r="G20" i="6" l="1"/>
  <c r="L47" i="10"/>
  <c r="L44" i="10" s="1"/>
  <c r="L55" i="10" s="1"/>
  <c r="Z55" i="10" s="1"/>
  <c r="N40" i="10"/>
  <c r="G107" i="6"/>
  <c r="H107" i="6" s="1"/>
  <c r="G106" i="6"/>
  <c r="H106" i="6" s="1"/>
  <c r="F108" i="6"/>
  <c r="G108" i="6" s="1"/>
  <c r="G90" i="6"/>
  <c r="G91" i="6"/>
  <c r="F169" i="6"/>
  <c r="G169" i="6" s="1"/>
  <c r="K59" i="6"/>
  <c r="L59" i="6" s="1"/>
  <c r="P59" i="6" s="1"/>
  <c r="D77" i="6"/>
  <c r="M59" i="6"/>
  <c r="N32" i="6"/>
  <c r="I80" i="10"/>
  <c r="K80" i="10" s="1"/>
  <c r="P40" i="10"/>
  <c r="Q56" i="10"/>
  <c r="I81" i="10"/>
  <c r="K81" i="10" s="1"/>
  <c r="I83" i="10"/>
  <c r="K83" i="10" s="1"/>
  <c r="Q9" i="10"/>
  <c r="N9" i="10"/>
  <c r="G9" i="10"/>
  <c r="R50" i="10"/>
  <c r="R49" i="10"/>
  <c r="M51" i="12" l="1"/>
  <c r="K48" i="12"/>
  <c r="K45" i="12" s="1"/>
  <c r="G18" i="6"/>
  <c r="F10" i="6"/>
  <c r="F59" i="6" s="1"/>
  <c r="K50" i="10"/>
  <c r="K47" i="10" s="1"/>
  <c r="K44" i="10" s="1"/>
  <c r="K55" i="10" s="1"/>
  <c r="Y55" i="10" s="1"/>
  <c r="K49" i="11"/>
  <c r="R47" i="12" l="1"/>
  <c r="K56" i="12"/>
  <c r="N51" i="12"/>
  <c r="M48" i="12"/>
  <c r="G10" i="6"/>
  <c r="M50" i="10"/>
  <c r="N50" i="10" s="1"/>
  <c r="K46" i="11"/>
  <c r="K44" i="11" s="1"/>
  <c r="M49" i="11"/>
  <c r="R48" i="10"/>
  <c r="R47" i="10"/>
  <c r="P58" i="12" l="1"/>
  <c r="Y54" i="12"/>
  <c r="N48" i="12"/>
  <c r="M45" i="12"/>
  <c r="F77" i="6"/>
  <c r="G77" i="6" s="1"/>
  <c r="G59" i="6"/>
  <c r="M47" i="10"/>
  <c r="M44" i="10" s="1"/>
  <c r="M55" i="10" s="1"/>
  <c r="N55" i="10" s="1"/>
  <c r="N49" i="11"/>
  <c r="M46" i="11"/>
  <c r="R47" i="11"/>
  <c r="K53" i="11"/>
  <c r="P57" i="11" s="1"/>
  <c r="P59" i="10"/>
  <c r="N45" i="12" l="1"/>
  <c r="M56" i="12"/>
  <c r="N56" i="12" s="1"/>
  <c r="N47" i="10"/>
  <c r="N44" i="10"/>
  <c r="N46" i="11"/>
  <c r="M44" i="11"/>
  <c r="N44" i="11" l="1"/>
  <c r="M53" i="11"/>
  <c r="N53" i="11" s="1"/>
</calcChain>
</file>

<file path=xl/sharedStrings.xml><?xml version="1.0" encoding="utf-8"?>
<sst xmlns="http://schemas.openxmlformats.org/spreadsheetml/2006/main" count="546" uniqueCount="245">
  <si>
    <t>COD</t>
  </si>
  <si>
    <t>ACTIVO</t>
  </si>
  <si>
    <t>AUMENTO</t>
  </si>
  <si>
    <t>PASIVO Y PATRIMONIO</t>
  </si>
  <si>
    <t>PASIVO</t>
  </si>
  <si>
    <t>DISMINUCION</t>
  </si>
  <si>
    <t>-</t>
  </si>
  <si>
    <t>VENTA DE BIENES</t>
  </si>
  <si>
    <t>AVANCES Y ANTICIPOS ENTREGADOS</t>
  </si>
  <si>
    <t>EN PODER DE TERCEROS</t>
  </si>
  <si>
    <t>OTROS PASIVOS</t>
  </si>
  <si>
    <t>OTROS ACTIVOS</t>
  </si>
  <si>
    <t>INGRESOS RECIBIDOS POR ANTICIPADO</t>
  </si>
  <si>
    <t>TOTAL PASIVO</t>
  </si>
  <si>
    <t>TERRENOS</t>
  </si>
  <si>
    <t>PATRIMONIO</t>
  </si>
  <si>
    <t>BIENES MUEBLES EN BODEGA</t>
  </si>
  <si>
    <t>EDIFICACIONES</t>
  </si>
  <si>
    <t>CAPITAL FISCAL</t>
  </si>
  <si>
    <t>MAQUINARIA Y EQUIPO</t>
  </si>
  <si>
    <t>RESULTADO DEL EJERCICIO</t>
  </si>
  <si>
    <t>BIENES DE BENEFICIO Y USO PUBLICO E HISTORICOS Y CULTURALES</t>
  </si>
  <si>
    <t>BIENES HISTORICOS Y CULTURALES</t>
  </si>
  <si>
    <t>BIENES DE ARTE Y CULTURA</t>
  </si>
  <si>
    <t xml:space="preserve">TOTAL ACTIVO </t>
  </si>
  <si>
    <t>TOTAL  PASIVO Y PATRIMONIO</t>
  </si>
  <si>
    <t>CUENTAS DE ORDEN DEUDORAS</t>
  </si>
  <si>
    <t>CUENTAS DE ORDEN   ACREEDORAS</t>
  </si>
  <si>
    <t>LITIGIOS Y DEMANDAS</t>
  </si>
  <si>
    <t>Contadora Pública</t>
  </si>
  <si>
    <t>INDICADORES DE LIQUIDEZ</t>
  </si>
  <si>
    <t>CAPÍTAL DE TRABAJO</t>
  </si>
  <si>
    <t>ACT CTE - PAS CTE</t>
  </si>
  <si>
    <t>LIQUIDEZ - RAZON CORRIENTE</t>
  </si>
  <si>
    <t>(ACT CTE / PAS CTE)</t>
  </si>
  <si>
    <t>ENDEUDAMIENTO</t>
  </si>
  <si>
    <t>(TOTAL PAS / TOTAL ACT)*100</t>
  </si>
  <si>
    <t>MOVIMIENTO AÑO 2013</t>
  </si>
  <si>
    <t>CONCEPTO</t>
  </si>
  <si>
    <t>MVTO 1er TM</t>
  </si>
  <si>
    <t>MVTO 2o TM</t>
  </si>
  <si>
    <t>MVTO 3er TM</t>
  </si>
  <si>
    <t>MVTO 4o TM</t>
  </si>
  <si>
    <t>ACUM A DIC</t>
  </si>
  <si>
    <t>INDICADORES</t>
  </si>
  <si>
    <t>INGRESOS  OPERACIONALES</t>
  </si>
  <si>
    <t>BIENES COMERCIALIZADOS</t>
  </si>
  <si>
    <t>VENTA DE SERVICIOS</t>
  </si>
  <si>
    <t>SERVICIOS EDUCATIVOS</t>
  </si>
  <si>
    <t>OTROS SERVICIOS</t>
  </si>
  <si>
    <t>OTRAS TRANSFERENCIAS</t>
  </si>
  <si>
    <t>COSTO DE VENTAS</t>
  </si>
  <si>
    <t>COSTO DE VENTAS DE BIENES</t>
  </si>
  <si>
    <t>GASTOS  OPERACIONALES</t>
  </si>
  <si>
    <t xml:space="preserve"> ADMINISTRATIVOS</t>
  </si>
  <si>
    <t>CONTRIBUCIONES IMPUTADAS</t>
  </si>
  <si>
    <t>GENERALES</t>
  </si>
  <si>
    <t>IMPUESTOS, CONTRIBUCIONES Y TASAS</t>
  </si>
  <si>
    <t>OTROS INGRESOS</t>
  </si>
  <si>
    <t>FINANCIEROS</t>
  </si>
  <si>
    <t>OTROS GASTOS</t>
  </si>
  <si>
    <t>COMISIONES</t>
  </si>
  <si>
    <t>PERIODO 2013</t>
  </si>
  <si>
    <t>MES</t>
  </si>
  <si>
    <t>costo de ventas</t>
  </si>
  <si>
    <t>Gs Operac</t>
  </si>
  <si>
    <t>Otros Gs</t>
  </si>
  <si>
    <t>Ttotal Gs</t>
  </si>
  <si>
    <t>MARGEN BRUTO</t>
  </si>
  <si>
    <t>(UTILIDAD BRUTA / VENTAS NETAS)*100</t>
  </si>
  <si>
    <t>MARGEN BRUTO DE UTILIDAD</t>
  </si>
  <si>
    <t>MARGEN OPERACIONAL</t>
  </si>
  <si>
    <t>(UTILIDAD OPERACIONAL / VENTAS NETAS)*100</t>
  </si>
  <si>
    <t>RENTABILIDAD OPERACIONAL</t>
  </si>
  <si>
    <t>MARGEN NETO</t>
  </si>
  <si>
    <t>(UTILIDAD NETA  / VENTAS NETAS)*100</t>
  </si>
  <si>
    <t>RENTABILIDAD NETA</t>
  </si>
  <si>
    <t>EBITDA - UTILIDAD OPERACIONAL</t>
  </si>
  <si>
    <t>UTILIDAD OP+PROV+DEPR+AMORT</t>
  </si>
  <si>
    <t>FLUJO DE CAJA - UTILIDAD OPERACIONAL</t>
  </si>
  <si>
    <t>EBITDA - RESULTADO EJECICIO</t>
  </si>
  <si>
    <t>RESUL EJERCI+PROV+DEPR+AMORT</t>
  </si>
  <si>
    <t>FLUJO DE CAJA - RESULTADO EJERCICIO</t>
  </si>
  <si>
    <r>
      <t>ROA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(RETURN ON ASSETS)</t>
    </r>
  </si>
  <si>
    <t>(UTILIDAD NETA / TOTAL ACTIVOS)*100</t>
  </si>
  <si>
    <t>RENDIMIENTOS SOBRE ACTIVOS</t>
  </si>
  <si>
    <r>
      <t xml:space="preserve">ROE </t>
    </r>
    <r>
      <rPr>
        <i/>
        <sz val="8"/>
        <rFont val="Arial"/>
        <family val="2"/>
      </rPr>
      <t>(RETURN ON EQUITY)</t>
    </r>
  </si>
  <si>
    <t>(UTILIDAD NETA / PATRIMONIO)*100</t>
  </si>
  <si>
    <t>RENTABILIDAD INVERSIONISTAS</t>
  </si>
  <si>
    <t>VENTAS NETAS</t>
  </si>
  <si>
    <t>VENTA DE BIENES + VENTA DE SERVICIOS</t>
  </si>
  <si>
    <t>UTILIDAD BRUTA</t>
  </si>
  <si>
    <t>VENTAS NETAS MENOS COSTO DE VENTAS</t>
  </si>
  <si>
    <t>UTILIDAD OPERACIONAL</t>
  </si>
  <si>
    <t xml:space="preserve">EXCEDENTE  (DÉFICIT ) OPERACIONAL </t>
  </si>
  <si>
    <t>UTILIDAD NETA</t>
  </si>
  <si>
    <t>EXCEDENTE  (DÉFICIT ) DEL EJERCICIO</t>
  </si>
  <si>
    <t>TOTAL ACTIVO</t>
  </si>
  <si>
    <t>INGRESOS FISCALES</t>
  </si>
  <si>
    <t>GASTOS NO OPERACIONALES</t>
  </si>
  <si>
    <t>JAIRO ALBERTO SERRATO ROMERO</t>
  </si>
  <si>
    <t>Subdirector Financiero</t>
  </si>
  <si>
    <t>(Cifras en pesos colombianos sin decimales)</t>
  </si>
  <si>
    <t>ACTIVO CORRIENTE</t>
  </si>
  <si>
    <t>EFECTIVO Y EQUIVALENTES AL EFECTIVO</t>
  </si>
  <si>
    <t>DEPÓSITOS EN INSTITUCIONES FINANCIERAS</t>
  </si>
  <si>
    <t>EQUIVALENTES AL EFECTIVO</t>
  </si>
  <si>
    <t xml:space="preserve">CUENTAS POR COBRAR </t>
  </si>
  <si>
    <t>PRESTACIÓN DE SERVICIOS</t>
  </si>
  <si>
    <t>OTRAS CUENTAS POR COBRAR</t>
  </si>
  <si>
    <t xml:space="preserve">DETERIORO ACUMULADO DE CUENTAS POR COBRAR </t>
  </si>
  <si>
    <t xml:space="preserve">INVENTARIOS </t>
  </si>
  <si>
    <t>MERCANCÍAS EN EXISTENCIA</t>
  </si>
  <si>
    <t>MATERIALES Y SUMINISTROS</t>
  </si>
  <si>
    <t xml:space="preserve">ACTIVO NO CORRIENTE </t>
  </si>
  <si>
    <t>PROPIEDADES, PLANTA Y EQUIPO</t>
  </si>
  <si>
    <t>CONSTRUCCIONES EN CURSO</t>
  </si>
  <si>
    <t>PROPIEDADES, PLANTA Y EQUIPO NO EXPLOTADOS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</si>
  <si>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</si>
  <si>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</si>
  <si>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</si>
  <si>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</si>
  <si>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</si>
  <si>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</t>
  </si>
  <si>
    <t>DEPÓSITOS ENTREGADOS EN GARANTÍA</t>
  </si>
  <si>
    <t>ACTIVOS INTANGIBLES</t>
  </si>
  <si>
    <t xml:space="preserve">AMORTIZACIÓN ACUMULADA DE ACTIVOS INTANGIBLES </t>
  </si>
  <si>
    <t xml:space="preserve">PASIVO CORRIENTE </t>
  </si>
  <si>
    <t xml:space="preserve">CUENTAS POR PAGAR </t>
  </si>
  <si>
    <t>ADQUISICIÓN DE BIENES Y SERVICIOS NACIONALES</t>
  </si>
  <si>
    <t>RECURSOS A FAVOR DE TERCEROS</t>
  </si>
  <si>
    <t>DESCUENTOS DE NOMINA</t>
  </si>
  <si>
    <t>RETENCIÓN EN LA FUENTE E IMPUESTO DE TIMBRE</t>
  </si>
  <si>
    <t xml:space="preserve">IMPUESTOS, CONTRIBUCIONES Y TASAS </t>
  </si>
  <si>
    <t>OTRAS CUENTAS POR PAGAR</t>
  </si>
  <si>
    <t xml:space="preserve">BENEFICIOS A LOS EMPLEADOS </t>
  </si>
  <si>
    <t>BENEFICIOS A LOS EMPLEADOS A CORTO PLAZO</t>
  </si>
  <si>
    <t>PROVISIONES</t>
  </si>
  <si>
    <t>RECURSOS RECIBIDOS EN ADMINISTRACIÓN</t>
  </si>
  <si>
    <t xml:space="preserve">PASIVO NO CORRIENTE </t>
  </si>
  <si>
    <t>BENEFICIOS A LOS EMPLEADOS A LARGO PLAZO</t>
  </si>
  <si>
    <t>ACTIVOS CONTINGENTES</t>
  </si>
  <si>
    <t>LITIGIOS Y MECANISMOS ALTERNATIVOS DE SOLUCIÓN DE CONFLICTOS</t>
  </si>
  <si>
    <t>OTROS ACTIVOS CONTINGENTES</t>
  </si>
  <si>
    <t>ACTIVOS CONTINGENTES POR CONTRA</t>
  </si>
  <si>
    <t>PASIVOS CONTINGENTES</t>
  </si>
  <si>
    <t>GARANTIAS CONTRACTUALES</t>
  </si>
  <si>
    <t>c.c. 79.372.414</t>
  </si>
  <si>
    <t>c.c. 51.964.083</t>
  </si>
  <si>
    <t>Tarjeta Profesional Nº 52145T</t>
  </si>
  <si>
    <t>PATRIMONIO DE LAS ESTIDADES DE GOBIERNO</t>
  </si>
  <si>
    <t>RESULTADOS DE EJERCICIOS ANTERIORES</t>
  </si>
  <si>
    <t xml:space="preserve">SIN CONTRAPRESTACIÓN </t>
  </si>
  <si>
    <t>4110</t>
  </si>
  <si>
    <t>CONTRIBUCIONES, TASAS E INGRESOS NO TRIBUTARIOS</t>
  </si>
  <si>
    <t>TRANSFERENCIAS Y SUBVENCIONES</t>
  </si>
  <si>
    <t>4428</t>
  </si>
  <si>
    <t xml:space="preserve">CON  CONTRAPRESTACIÓN </t>
  </si>
  <si>
    <t>4305</t>
  </si>
  <si>
    <t>4390</t>
  </si>
  <si>
    <t>DEVOLUCIONES, REBAJAS Y DESCUENTOS EN VENTA DE SERVICIOS</t>
  </si>
  <si>
    <t xml:space="preserve">VENTA DE BIENES </t>
  </si>
  <si>
    <t>4210</t>
  </si>
  <si>
    <t>COSTO DE VENTAS DE SERVICIOS</t>
  </si>
  <si>
    <t>5101</t>
  </si>
  <si>
    <t>SUELDOS Y SALARIOS</t>
  </si>
  <si>
    <t>5102</t>
  </si>
  <si>
    <t>5103</t>
  </si>
  <si>
    <t>CONTRIBUCIONES EFECTIVAS</t>
  </si>
  <si>
    <t>5104</t>
  </si>
  <si>
    <t>APORTES SOBRE LA NÓMINA</t>
  </si>
  <si>
    <t>5107</t>
  </si>
  <si>
    <t>PRESTACIONES SOCIALES</t>
  </si>
  <si>
    <t>5111</t>
  </si>
  <si>
    <t>5120</t>
  </si>
  <si>
    <t>DETERIORO, DEPRECIACIONES, AMORTIZACIONES Y PROVISIONES</t>
  </si>
  <si>
    <t>5360</t>
  </si>
  <si>
    <t>DEPRECIACIÓN DE PROPIEDADES, PLANTA Y EQUIPO</t>
  </si>
  <si>
    <t>5366</t>
  </si>
  <si>
    <t>AMORTIZACIÓN DE ACTIVOS INTANGIBLES</t>
  </si>
  <si>
    <t>INGRESOS  NO OPERACIONALES</t>
  </si>
  <si>
    <t>INGRESOS DIVERSOS</t>
  </si>
  <si>
    <t>5802</t>
  </si>
  <si>
    <t>GASTOS DIVERSOS</t>
  </si>
  <si>
    <t>c.c 79.372.414</t>
  </si>
  <si>
    <t>CON CONTRAPRESTACION</t>
  </si>
  <si>
    <t>Var %</t>
  </si>
  <si>
    <t xml:space="preserve">EXCEDENTE (DÉFICIT)  OPERACIONAL </t>
  </si>
  <si>
    <t>EXCEDENTE (DÉFICIT) DEL EJERCICIO</t>
  </si>
  <si>
    <t>ESTADO DE RESULTADOS COMPARATIVO</t>
  </si>
  <si>
    <t>2990</t>
  </si>
  <si>
    <t>OTROS PASIVOS DIFERIDOS</t>
  </si>
  <si>
    <t>GASTOS DE PERSONAL DIVERSOS</t>
  </si>
  <si>
    <t>CUENTAS POR COBRAR DE DIFÍCIL RECAUDO</t>
  </si>
  <si>
    <t>DETERIORO DE INVENTARIOS</t>
  </si>
  <si>
    <t>PROVISION, LITIGIOS Y DEMANDAS</t>
  </si>
  <si>
    <t>TRANSFERENCIAS POR COBRAR</t>
  </si>
  <si>
    <t>REVERSION DE LAS PERDIDAS POR DETERIORO DE VALOR</t>
  </si>
  <si>
    <t>ACREEDORAS POR CONTRA (DB)</t>
  </si>
  <si>
    <t>DEUDORAS POR CONTRA (CR)</t>
  </si>
  <si>
    <t>DETERIORO DE CUENTAS POR COBRAR</t>
  </si>
  <si>
    <t>OTROS PASIVOS CONTINGENTES</t>
  </si>
  <si>
    <t xml:space="preserve">NIT No. 899.999.124-4 </t>
  </si>
  <si>
    <t xml:space="preserve">RESPONSABILIDADES CONTINGENTES POR CONTRA </t>
  </si>
  <si>
    <t>IMPUESTOS</t>
  </si>
  <si>
    <t>DEVOLUCIONES, REBAJAS Y DESCUENTOS EN VENTA DE BIENES</t>
  </si>
  <si>
    <t>ACREEDORAS DE CONTROL POR CONTRA</t>
  </si>
  <si>
    <t>MARYSOL GUERRA LEGUIZAMÓN</t>
  </si>
  <si>
    <t>ESTADO DE SITUACIÓN FINANCIERA COMPARATIVO</t>
  </si>
  <si>
    <t>UNIVERSIDAD PEDAGÓGICA NACIONAL</t>
  </si>
  <si>
    <t>%variación</t>
  </si>
  <si>
    <t>CAJA</t>
  </si>
  <si>
    <t>ACREEDORAS DE CONTROL</t>
  </si>
  <si>
    <t>RECURSOS ADMINISTRADOS EN NOMBRE DE TERCEROS</t>
  </si>
  <si>
    <t>INVERSIONES EN INSTRUMENTOS DERIVADOS</t>
  </si>
  <si>
    <t>INVERSIONES DE ADMINISTRACIÓN DE LIQUIDEZ A COSTO AMORTIZADO</t>
  </si>
  <si>
    <t>SEPTIEMBRE</t>
  </si>
  <si>
    <t>ADOLFO LEÓN ATEHORTÚA CRUZ</t>
  </si>
  <si>
    <t>Representante Legal - Rector ( E )</t>
  </si>
  <si>
    <t>c.c. 16.347.657</t>
  </si>
  <si>
    <t>JUNIO</t>
  </si>
  <si>
    <t>A 30 DE SEPTIEMBRE DE  2023 - 30 DE JUNIO DE 2023</t>
  </si>
  <si>
    <t xml:space="preserve">Los suscritos Representante legal, Subdirector Financiero y Contador de la Universidad Pedagógica Nacional certifican que los saldos del Estado de Situación Financiera a septiembre 30 del 2023 y junio 30 del 2023, fueron tomados fielmente de los libros de contabilidad, que la contabilidad se elaboró conforme a la normatividad emitida por la Contaduría General de la Nación para Entidades de Gobierno, anexa a la Resolución 533 de 2015 y sus modificatorias. </t>
  </si>
  <si>
    <t>AJUSTE POR DIFERENCIA EN CAMBIO</t>
  </si>
  <si>
    <t>HELBERTH AUGUSTO CHOACHÍ GONZÁLEZ</t>
  </si>
  <si>
    <t xml:space="preserve">Representante Legal - Rector </t>
  </si>
  <si>
    <t>c.c. 80.171.041</t>
  </si>
  <si>
    <t>Representante Legal - Rector</t>
  </si>
  <si>
    <t>DETERIORO ACUMULADO DE PROPIEDADES, PLANTA Y EQUIPO</t>
  </si>
  <si>
    <t>BIENES Y SERVICIOS PAGADOS POR ANTICIPADO</t>
  </si>
  <si>
    <t>OPERACIONES INTERINSTITUCIONALES</t>
  </si>
  <si>
    <t>FONDOS RECIBIDOS</t>
  </si>
  <si>
    <t>OTRAS CUENTAS ACREEDORAS DE CONTROL</t>
  </si>
  <si>
    <t>DEVOLUCIONES Y DESCUENTOS INGRESOS FISCALES</t>
  </si>
  <si>
    <t>MARZO</t>
  </si>
  <si>
    <t>INGRESOS NO TRIBUTARIOS</t>
  </si>
  <si>
    <t>INVERSIONES DE ADMINISTRACION DE LIQUIDEZ A COSTO AMORTIZADO</t>
  </si>
  <si>
    <t>INVERSIONES E INSTRUMENTOS DERIVADOS</t>
  </si>
  <si>
    <t>A 30 DE JUNIO DE  2025 - 2024</t>
  </si>
  <si>
    <t>RECURSOS ENTREGADOS EN ADMINISTRACIÓN</t>
  </si>
  <si>
    <t xml:space="preserve">Los suscritos Representante legal, Subdirector Financiero y Contador de la Universidad Pedagógica Nacional certifican que los saldos del Estado de Situación Financiera a junio 30 del 2025 y 2024, fueron tomados fielmente de los libros de contabilidad, que la contabilidad se elaboró conforme a la normatividad emitida por la Contaduría General de la Nación para Entidades de Gobierno, anexa a la Resolución 533 de 2015 y sus modificatorias. </t>
  </si>
  <si>
    <t>DEL 01 DE ENERO AL 30 DE JUNIO DEL  2025 - 2024</t>
  </si>
  <si>
    <t>Los suscritos Representante legal, Subdirector Financiero y Contador de la Universidad Pedagógica Nacional certifican que los saldos del Estado de Resultados del 1 de enero al 30 de junio del 2025 y 2024, fueron tomados fielmente de los libros de contabilidad y que la contabilidad se elaboró conforme a la normatividad emitida por la Contaduría General de la Nación para Entidades de Gobierno, anexa a la Resolución 533 de 2015 y sus modificatorias.</t>
  </si>
  <si>
    <t>A 30 DE JUNIO DE  2025 - 31 DE MARZO 2025</t>
  </si>
  <si>
    <t xml:space="preserve">Los suscritos Representante legal, Subdirector Financiero y Contador de la Universidad Pedagógica Nacional certifican que los saldos del Estado de Situación Financiera a junio 30 del 2025 y marzo 31 de 2025, fueron tomados fielmente de los libros de contabilidad, que la contabilidad se elaboró conforme a la normatividad emitida por la Contaduría General de la Nación para Entidades de Gobierno, anexa a la Resolución 533 de 2015 y sus modificatorias.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</si>
</sst>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name val="Century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entury"/>
      <family val="1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10" fontId="1" fillId="0" borderId="0" xfId="0" applyNumberFormat="1" applyFont="1" applyFill="1"/>
    <xf numFmtId="4" fontId="6" fillId="0" borderId="0" xfId="0" applyNumberFormat="1" applyFont="1" applyFill="1"/>
    <xf numFmtId="3" fontId="6" fillId="0" borderId="0" xfId="0" applyNumberFormat="1" applyFont="1" applyFill="1"/>
    <xf numFmtId="4" fontId="5" fillId="0" borderId="0" xfId="0" applyNumberFormat="1" applyFont="1" applyFill="1" applyBorder="1"/>
    <xf numFmtId="4" fontId="0" fillId="0" borderId="0" xfId="0" applyNumberFormat="1" applyFill="1"/>
    <xf numFmtId="0" fontId="1" fillId="0" borderId="4" xfId="0" applyFont="1" applyFill="1" applyBorder="1"/>
    <xf numFmtId="164" fontId="9" fillId="0" borderId="0" xfId="0" applyNumberFormat="1" applyFont="1" applyFill="1" applyBorder="1"/>
    <xf numFmtId="164" fontId="5" fillId="0" borderId="0" xfId="0" applyNumberFormat="1" applyFont="1" applyFill="1" applyBorder="1"/>
    <xf numFmtId="164" fontId="1" fillId="0" borderId="0" xfId="0" applyNumberFormat="1" applyFont="1" applyFill="1"/>
    <xf numFmtId="4" fontId="9" fillId="0" borderId="0" xfId="0" applyNumberFormat="1" applyFont="1" applyFill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1" fontId="4" fillId="0" borderId="5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0" fillId="0" borderId="0" xfId="0" applyNumberFormat="1" applyFill="1"/>
    <xf numFmtId="3" fontId="0" fillId="0" borderId="0" xfId="0" applyNumberFormat="1" applyFill="1" applyBorder="1"/>
    <xf numFmtId="3" fontId="5" fillId="0" borderId="1" xfId="0" applyNumberFormat="1" applyFont="1" applyFill="1" applyBorder="1"/>
    <xf numFmtId="4" fontId="7" fillId="0" borderId="0" xfId="0" applyNumberFormat="1" applyFont="1" applyFill="1"/>
    <xf numFmtId="0" fontId="5" fillId="0" borderId="0" xfId="0" applyFont="1" applyFill="1" applyAlignment="1">
      <alignment horizontal="center"/>
    </xf>
    <xf numFmtId="4" fontId="0" fillId="0" borderId="0" xfId="0" applyNumberForma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3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3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1" applyNumberFormat="1" applyFont="1" applyFill="1"/>
    <xf numFmtId="0" fontId="1" fillId="0" borderId="0" xfId="0" quotePrefix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4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3" fontId="11" fillId="0" borderId="0" xfId="0" applyNumberFormat="1" applyFont="1" applyFill="1" applyBorder="1"/>
    <xf numFmtId="3" fontId="10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0" fontId="11" fillId="0" borderId="0" xfId="0" applyFont="1" applyFill="1" applyBorder="1"/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0" fontId="0" fillId="0" borderId="0" xfId="0" applyFill="1" applyAlignment="1"/>
    <xf numFmtId="0" fontId="0" fillId="0" borderId="0" xfId="0" applyFill="1"/>
    <xf numFmtId="0" fontId="14" fillId="0" borderId="0" xfId="0" applyFont="1" applyFill="1" applyBorder="1" applyAlignment="1">
      <alignment horizontal="center"/>
    </xf>
    <xf numFmtId="4" fontId="1" fillId="0" borderId="9" xfId="0" applyNumberFormat="1" applyFont="1" applyFill="1" applyBorder="1"/>
    <xf numFmtId="4" fontId="1" fillId="0" borderId="10" xfId="0" applyNumberFormat="1" applyFont="1" applyFill="1" applyBorder="1"/>
    <xf numFmtId="4" fontId="1" fillId="0" borderId="8" xfId="0" applyNumberFormat="1" applyFont="1" applyFill="1" applyBorder="1"/>
    <xf numFmtId="4" fontId="5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3" fontId="9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4" fontId="1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5" fillId="0" borderId="3" xfId="1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0" fontId="1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" fillId="0" borderId="12" xfId="0" applyFont="1" applyFill="1" applyBorder="1"/>
    <xf numFmtId="0" fontId="1" fillId="0" borderId="3" xfId="0" applyFont="1" applyFill="1" applyBorder="1"/>
    <xf numFmtId="9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6" fillId="0" borderId="12" xfId="0" applyFont="1" applyFill="1" applyBorder="1"/>
    <xf numFmtId="38" fontId="6" fillId="0" borderId="3" xfId="0" applyNumberFormat="1" applyFont="1" applyFill="1" applyBorder="1"/>
    <xf numFmtId="9" fontId="10" fillId="0" borderId="3" xfId="1" applyNumberFormat="1" applyFont="1" applyFill="1" applyBorder="1"/>
    <xf numFmtId="9" fontId="11" fillId="0" borderId="3" xfId="0" applyNumberFormat="1" applyFont="1" applyFill="1" applyBorder="1"/>
    <xf numFmtId="0" fontId="6" fillId="0" borderId="12" xfId="0" quotePrefix="1" applyFont="1" applyFill="1" applyBorder="1" applyAlignment="1">
      <alignment horizontal="right"/>
    </xf>
    <xf numFmtId="0" fontId="4" fillId="0" borderId="12" xfId="0" quotePrefix="1" applyFont="1" applyFill="1" applyBorder="1" applyAlignment="1">
      <alignment horizontal="left"/>
    </xf>
    <xf numFmtId="9" fontId="11" fillId="0" borderId="3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9" fontId="10" fillId="0" borderId="3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/>
    <xf numFmtId="4" fontId="1" fillId="0" borderId="14" xfId="0" applyNumberFormat="1" applyFont="1" applyFill="1" applyBorder="1"/>
    <xf numFmtId="0" fontId="1" fillId="0" borderId="14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4" fontId="4" fillId="0" borderId="16" xfId="0" applyNumberFormat="1" applyFont="1" applyFill="1" applyBorder="1" applyAlignment="1">
      <alignment horizontal="center"/>
    </xf>
    <xf numFmtId="9" fontId="10" fillId="0" borderId="16" xfId="1" applyNumberFormat="1" applyFont="1" applyFill="1" applyBorder="1"/>
    <xf numFmtId="9" fontId="11" fillId="0" borderId="16" xfId="0" applyNumberFormat="1" applyFont="1" applyFill="1" applyBorder="1"/>
    <xf numFmtId="3" fontId="10" fillId="0" borderId="18" xfId="0" applyNumberFormat="1" applyFont="1" applyFill="1" applyBorder="1"/>
    <xf numFmtId="9" fontId="10" fillId="0" borderId="17" xfId="1" applyNumberFormat="1" applyFont="1" applyFill="1" applyBorder="1"/>
    <xf numFmtId="9" fontId="10" fillId="0" borderId="19" xfId="1" applyNumberFormat="1" applyFont="1" applyFill="1" applyBorder="1"/>
    <xf numFmtId="0" fontId="4" fillId="0" borderId="18" xfId="0" applyFont="1" applyFill="1" applyBorder="1" applyAlignment="1">
      <alignment horizontal="center"/>
    </xf>
    <xf numFmtId="3" fontId="5" fillId="0" borderId="18" xfId="0" applyNumberFormat="1" applyFont="1" applyFill="1" applyBorder="1"/>
    <xf numFmtId="9" fontId="5" fillId="0" borderId="19" xfId="1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3" fontId="10" fillId="0" borderId="20" xfId="0" applyNumberFormat="1" applyFont="1" applyFill="1" applyBorder="1"/>
    <xf numFmtId="9" fontId="10" fillId="0" borderId="21" xfId="1" applyNumberFormat="1" applyFont="1" applyFill="1" applyBorder="1"/>
    <xf numFmtId="0" fontId="6" fillId="0" borderId="14" xfId="0" applyFont="1" applyFill="1" applyBorder="1"/>
    <xf numFmtId="9" fontId="10" fillId="0" borderId="22" xfId="1" applyNumberFormat="1" applyFont="1" applyFill="1" applyBorder="1"/>
    <xf numFmtId="0" fontId="4" fillId="0" borderId="0" xfId="0" quotePrefix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4" fillId="0" borderId="11" xfId="0" applyFont="1" applyFill="1" applyBorder="1" applyAlignment="1">
      <alignment horizontal="left"/>
    </xf>
    <xf numFmtId="9" fontId="10" fillId="0" borderId="6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3" fontId="10" fillId="0" borderId="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9" fillId="0" borderId="12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/>
    <xf numFmtId="0" fontId="1" fillId="0" borderId="14" xfId="0" applyFont="1" applyFill="1" applyBorder="1"/>
    <xf numFmtId="0" fontId="16" fillId="0" borderId="15" xfId="0" applyFont="1" applyFill="1" applyBorder="1" applyAlignment="1">
      <alignment horizontal="center"/>
    </xf>
    <xf numFmtId="4" fontId="14" fillId="0" borderId="12" xfId="0" applyNumberFormat="1" applyFont="1" applyFill="1" applyBorder="1" applyAlignment="1"/>
    <xf numFmtId="0" fontId="16" fillId="0" borderId="14" xfId="0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9" fontId="1" fillId="0" borderId="0" xfId="0" applyNumberFormat="1" applyFont="1" applyFill="1"/>
    <xf numFmtId="1" fontId="10" fillId="0" borderId="0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9" fontId="11" fillId="0" borderId="0" xfId="0" applyNumberFormat="1" applyFont="1" applyFill="1" applyBorder="1"/>
    <xf numFmtId="9" fontId="11" fillId="0" borderId="0" xfId="0" applyNumberFormat="1" applyFont="1" applyFill="1" applyBorder="1" applyAlignment="1">
      <alignment horizontal="right"/>
    </xf>
    <xf numFmtId="9" fontId="10" fillId="0" borderId="0" xfId="1" applyNumberFormat="1" applyFont="1" applyFill="1" applyBorder="1"/>
    <xf numFmtId="0" fontId="6" fillId="0" borderId="24" xfId="0" applyFont="1" applyFill="1" applyBorder="1" applyAlignment="1">
      <alignment horizontal="right"/>
    </xf>
    <xf numFmtId="0" fontId="4" fillId="0" borderId="24" xfId="0" quotePrefix="1" applyFont="1" applyFill="1" applyBorder="1" applyAlignment="1">
      <alignment horizontal="left"/>
    </xf>
    <xf numFmtId="9" fontId="10" fillId="0" borderId="0" xfId="0" applyNumberFormat="1" applyFont="1" applyFill="1" applyBorder="1"/>
    <xf numFmtId="9" fontId="10" fillId="0" borderId="4" xfId="1" applyNumberFormat="1" applyFont="1" applyFill="1" applyBorder="1"/>
    <xf numFmtId="0" fontId="4" fillId="0" borderId="25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9" fontId="10" fillId="0" borderId="3" xfId="1" applyNumberFormat="1" applyFont="1" applyFill="1" applyBorder="1" applyAlignment="1">
      <alignment horizontal="right"/>
    </xf>
    <xf numFmtId="9" fontId="11" fillId="0" borderId="26" xfId="0" applyNumberFormat="1" applyFont="1" applyFill="1" applyBorder="1"/>
    <xf numFmtId="9" fontId="11" fillId="0" borderId="26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/>
    <xf numFmtId="3" fontId="10" fillId="0" borderId="27" xfId="0" applyNumberFormat="1" applyFont="1" applyFill="1" applyBorder="1"/>
    <xf numFmtId="9" fontId="10" fillId="0" borderId="28" xfId="1" applyNumberFormat="1" applyFont="1" applyFill="1" applyBorder="1"/>
    <xf numFmtId="3" fontId="10" fillId="0" borderId="29" xfId="0" applyNumberFormat="1" applyFont="1" applyFill="1" applyBorder="1"/>
    <xf numFmtId="9" fontId="10" fillId="0" borderId="30" xfId="0" applyNumberFormat="1" applyFont="1" applyFill="1" applyBorder="1"/>
    <xf numFmtId="9" fontId="10" fillId="0" borderId="16" xfId="1" applyNumberFormat="1" applyFont="1" applyFill="1" applyBorder="1" applyAlignment="1">
      <alignment horizontal="right"/>
    </xf>
    <xf numFmtId="9" fontId="11" fillId="0" borderId="16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5" fillId="0" borderId="14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/>
    <xf numFmtId="3" fontId="11" fillId="0" borderId="0" xfId="0" applyNumberFormat="1" applyFont="1"/>
    <xf numFmtId="3" fontId="1" fillId="0" borderId="0" xfId="0" applyNumberFormat="1" applyFont="1"/>
    <xf numFmtId="0" fontId="5" fillId="0" borderId="14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/>
    <xf numFmtId="0" fontId="6" fillId="0" borderId="12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0" fontId="5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justify" vertical="justify" wrapText="1"/>
    </xf>
    <xf numFmtId="0" fontId="1" fillId="0" borderId="0" xfId="0" applyFont="1" applyFill="1" applyBorder="1" applyAlignment="1">
      <alignment horizontal="justify" vertical="justify" wrapText="1"/>
    </xf>
    <xf numFmtId="0" fontId="1" fillId="0" borderId="3" xfId="0" applyFont="1" applyFill="1" applyBorder="1" applyAlignment="1">
      <alignment horizontal="justify" vertical="justify" wrapText="1"/>
    </xf>
    <xf numFmtId="3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14" fillId="0" borderId="12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3" fontId="14" fillId="0" borderId="12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justify" vertical="justify" wrapText="1"/>
    </xf>
    <xf numFmtId="0" fontId="0" fillId="0" borderId="3" xfId="0" applyFill="1" applyBorder="1" applyAlignment="1">
      <alignment horizontal="justify" vertical="justify" wrapText="1"/>
    </xf>
    <xf numFmtId="0" fontId="17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/>
    <xf numFmtId="0" fontId="1" fillId="0" borderId="12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3" xfId="0" applyFont="1" applyFill="1" applyBorder="1" applyAlignment="1">
      <alignment horizontal="left" vertical="justify" wrapText="1"/>
    </xf>
    <xf numFmtId="0" fontId="0" fillId="0" borderId="0" xfId="0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0</xdr:row>
      <xdr:rowOff>199807</xdr:rowOff>
    </xdr:from>
    <xdr:to>
      <xdr:col>13</xdr:col>
      <xdr:colOff>293810</xdr:colOff>
      <xdr:row>4</xdr:row>
      <xdr:rowOff>9038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990B31-AC16-4C36-A426-BE9FAEA28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2324" y="199807"/>
          <a:ext cx="2179761" cy="723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220579</xdr:colOff>
      <xdr:row>0</xdr:row>
      <xdr:rowOff>70185</xdr:rowOff>
    </xdr:from>
    <xdr:to>
      <xdr:col>1</xdr:col>
      <xdr:colOff>1102894</xdr:colOff>
      <xdr:row>6</xdr:row>
      <xdr:rowOff>20054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79" y="7018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4</xdr:col>
      <xdr:colOff>401054</xdr:colOff>
      <xdr:row>0</xdr:row>
      <xdr:rowOff>140366</xdr:rowOff>
    </xdr:from>
    <xdr:to>
      <xdr:col>6</xdr:col>
      <xdr:colOff>475288</xdr:colOff>
      <xdr:row>4</xdr:row>
      <xdr:rowOff>61892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2A4927-C9D0-4B71-9BEB-473BE1FD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7422" y="140366"/>
          <a:ext cx="2179761" cy="723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E3FF4C-A643-443B-AE85-D878CE1942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0</xdr:row>
      <xdr:rowOff>199807</xdr:rowOff>
    </xdr:from>
    <xdr:to>
      <xdr:col>13</xdr:col>
      <xdr:colOff>293810</xdr:colOff>
      <xdr:row>4</xdr:row>
      <xdr:rowOff>9038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B194DE-C296-41DA-BA8D-A490953C2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4" y="199807"/>
          <a:ext cx="2179761" cy="723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75D1E-4C62-4BC8-A868-A7418F418F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45CE6D-AE0B-4923-B0D6-475624A7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672" y="206546"/>
          <a:ext cx="1110678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8"/>
  <sheetViews>
    <sheetView tabSelected="1" zoomScaleNormal="100" workbookViewId="0">
      <selection activeCell="H91" sqref="H91"/>
    </sheetView>
  </sheetViews>
  <sheetFormatPr baseColWidth="10" defaultColWidth="11.42578125" defaultRowHeight="12.75" x14ac:dyDescent="0.2"/>
  <cols>
    <col min="1" max="1" width="5.140625" style="90" customWidth="1"/>
    <col min="2" max="2" width="25.42578125" style="90" customWidth="1"/>
    <col min="3" max="3" width="1.140625" style="80" customWidth="1"/>
    <col min="4" max="4" width="17.85546875" style="14" customWidth="1"/>
    <col min="5" max="5" width="18.28515625" style="14" customWidth="1"/>
    <col min="6" max="6" width="28" style="14" hidden="1" customWidth="1"/>
    <col min="7" max="7" width="8.140625" style="14" customWidth="1"/>
    <col min="8" max="8" width="4.42578125" style="90" bestFit="1" customWidth="1"/>
    <col min="9" max="9" width="22.28515625" style="90" customWidth="1"/>
    <col min="10" max="10" width="2" style="80" customWidth="1"/>
    <col min="11" max="11" width="14.42578125" style="24" customWidth="1"/>
    <col min="12" max="12" width="14" style="14" customWidth="1"/>
    <col min="13" max="13" width="14.85546875" style="14" hidden="1" customWidth="1"/>
    <col min="14" max="14" width="8.5703125" style="90" bestFit="1" customWidth="1"/>
    <col min="15" max="15" width="6.140625" style="90" hidden="1" customWidth="1"/>
    <col min="16" max="17" width="6.5703125" style="90" hidden="1" customWidth="1"/>
    <col min="18" max="18" width="7.85546875" style="90" hidden="1" customWidth="1"/>
    <col min="19" max="19" width="7" style="90" hidden="1" customWidth="1"/>
    <col min="20" max="22" width="11.42578125" style="90" hidden="1" customWidth="1"/>
    <col min="23" max="23" width="7.85546875" style="90" customWidth="1"/>
    <col min="24" max="24" width="4.85546875" style="90" customWidth="1"/>
    <col min="25" max="16384" width="11.42578125" style="90"/>
  </cols>
  <sheetData>
    <row r="1" spans="1:25" s="1" customFormat="1" ht="18" x14ac:dyDescent="0.25">
      <c r="A1" s="233" t="s">
        <v>209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5"/>
    </row>
    <row r="2" spans="1:25" s="1" customFormat="1" ht="18" x14ac:dyDescent="0.25">
      <c r="A2" s="236" t="s">
        <v>202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</row>
    <row r="3" spans="1:25" s="1" customFormat="1" ht="18" x14ac:dyDescent="0.25">
      <c r="A3" s="236" t="s">
        <v>208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8"/>
    </row>
    <row r="4" spans="1:25" s="1" customFormat="1" ht="18" x14ac:dyDescent="0.25">
      <c r="A4" s="236" t="s">
        <v>238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</row>
    <row r="5" spans="1:25" s="1" customFormat="1" ht="18" x14ac:dyDescent="0.25">
      <c r="A5" s="239" t="s">
        <v>102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1:25" s="2" customFormat="1" ht="14.25" customHeight="1" x14ac:dyDescent="0.2">
      <c r="A6" s="242" t="s">
        <v>0</v>
      </c>
      <c r="B6" s="243" t="s">
        <v>38</v>
      </c>
      <c r="C6" s="243"/>
      <c r="D6" s="103">
        <v>2025</v>
      </c>
      <c r="E6" s="103">
        <v>2024</v>
      </c>
      <c r="F6" s="49" t="s">
        <v>2</v>
      </c>
      <c r="G6" s="244" t="s">
        <v>186</v>
      </c>
      <c r="H6" s="245" t="s">
        <v>0</v>
      </c>
      <c r="I6" s="243" t="s">
        <v>38</v>
      </c>
      <c r="J6" s="243"/>
      <c r="K6" s="103">
        <v>2025</v>
      </c>
      <c r="L6" s="103">
        <v>2024</v>
      </c>
      <c r="M6" s="49" t="s">
        <v>2</v>
      </c>
      <c r="N6" s="246" t="s">
        <v>186</v>
      </c>
      <c r="P6" s="248" t="s">
        <v>1</v>
      </c>
      <c r="Q6" s="248"/>
      <c r="R6" s="248" t="s">
        <v>4</v>
      </c>
      <c r="S6" s="248"/>
    </row>
    <row r="7" spans="1:25" s="2" customFormat="1" ht="12" customHeight="1" x14ac:dyDescent="0.2">
      <c r="A7" s="242"/>
      <c r="B7" s="243"/>
      <c r="C7" s="243"/>
      <c r="D7" s="103" t="s">
        <v>220</v>
      </c>
      <c r="E7" s="103" t="s">
        <v>220</v>
      </c>
      <c r="F7" s="49" t="s">
        <v>5</v>
      </c>
      <c r="G7" s="244"/>
      <c r="H7" s="245"/>
      <c r="I7" s="243"/>
      <c r="J7" s="243"/>
      <c r="K7" s="103" t="s">
        <v>220</v>
      </c>
      <c r="L7" s="103" t="s">
        <v>220</v>
      </c>
      <c r="M7" s="49" t="s">
        <v>5</v>
      </c>
      <c r="N7" s="246"/>
    </row>
    <row r="8" spans="1:25" s="2" customFormat="1" ht="15.75" customHeight="1" x14ac:dyDescent="0.2">
      <c r="A8" s="120"/>
      <c r="B8" s="214" t="s">
        <v>1</v>
      </c>
      <c r="C8" s="49"/>
      <c r="D8" s="98"/>
      <c r="E8" s="98"/>
      <c r="F8" s="98"/>
      <c r="G8" s="135"/>
      <c r="H8" s="47"/>
      <c r="I8" s="214" t="s">
        <v>3</v>
      </c>
      <c r="J8" s="49"/>
      <c r="K8" s="23"/>
      <c r="L8" s="48"/>
      <c r="M8" s="48"/>
      <c r="N8" s="121"/>
    </row>
    <row r="9" spans="1:25" s="2" customFormat="1" ht="21.75" customHeight="1" x14ac:dyDescent="0.2">
      <c r="A9" s="120"/>
      <c r="B9" s="46" t="s">
        <v>103</v>
      </c>
      <c r="C9" s="49"/>
      <c r="D9" s="138">
        <f>+D10+D14+D16+D22+D26</f>
        <v>289846779825.54004</v>
      </c>
      <c r="E9" s="138">
        <f t="shared" ref="E9:F9" si="0">+E10+E14+E16+E22+E26</f>
        <v>232090742474.17999</v>
      </c>
      <c r="F9" s="138">
        <f t="shared" si="0"/>
        <v>57756037351.360023</v>
      </c>
      <c r="G9" s="139">
        <f>+F9/E9</f>
        <v>0.24885110339024125</v>
      </c>
      <c r="H9" s="47"/>
      <c r="I9" s="46" t="s">
        <v>127</v>
      </c>
      <c r="J9" s="49"/>
      <c r="K9" s="138">
        <f>+K10+K18+K22+K26</f>
        <v>36695745119.089996</v>
      </c>
      <c r="L9" s="138">
        <f>+L10+L18+L22+L26</f>
        <v>18935072455.310001</v>
      </c>
      <c r="M9" s="138">
        <f>+M10+M18+M22+M26</f>
        <v>17760672663.779999</v>
      </c>
      <c r="N9" s="140">
        <f>+M9/L9</f>
        <v>0.93797753907191084</v>
      </c>
      <c r="P9" s="37">
        <f>+D9/D9*100</f>
        <v>100</v>
      </c>
      <c r="Q9" s="44">
        <f>+D9/D55*100</f>
        <v>46.491192091438435</v>
      </c>
    </row>
    <row r="10" spans="1:25" s="2" customFormat="1" ht="26.25" customHeight="1" x14ac:dyDescent="0.2">
      <c r="A10" s="125">
        <v>11</v>
      </c>
      <c r="B10" s="151" t="s">
        <v>104</v>
      </c>
      <c r="C10" s="49"/>
      <c r="D10" s="84">
        <f>SUM(D11:D13)</f>
        <v>196387619272.09003</v>
      </c>
      <c r="E10" s="84">
        <f>SUM(E11:E13)</f>
        <v>220871319732.69</v>
      </c>
      <c r="F10" s="84">
        <f>SUM(F11:F13)</f>
        <v>-24483700460.599979</v>
      </c>
      <c r="G10" s="136">
        <f>+F10/E10</f>
        <v>-0.11085051916306486</v>
      </c>
      <c r="H10" s="51">
        <v>24</v>
      </c>
      <c r="I10" s="50" t="s">
        <v>128</v>
      </c>
      <c r="J10" s="49"/>
      <c r="K10" s="84">
        <f>SUM(K11:K17)</f>
        <v>6972746569.9099998</v>
      </c>
      <c r="L10" s="84">
        <f>SUM(L11:L17)</f>
        <v>3020941241.4100003</v>
      </c>
      <c r="M10" s="84">
        <f t="shared" ref="M10" si="1">SUM(M11:M17)</f>
        <v>3951805328.5</v>
      </c>
      <c r="N10" s="122">
        <f t="shared" ref="N10:N14" si="2">+M10/L10</f>
        <v>1.3081371045322041</v>
      </c>
    </row>
    <row r="11" spans="1:25" s="2" customFormat="1" ht="24.75" customHeight="1" x14ac:dyDescent="0.2">
      <c r="A11" s="120">
        <v>1105</v>
      </c>
      <c r="B11" s="85" t="s">
        <v>211</v>
      </c>
      <c r="C11" s="77"/>
      <c r="D11" s="222">
        <v>751821690</v>
      </c>
      <c r="E11" s="222">
        <v>651207897</v>
      </c>
      <c r="F11" s="83">
        <f>+D11-E11</f>
        <v>100613793</v>
      </c>
      <c r="G11" s="137">
        <f>+F11/E11</f>
        <v>0.15450333674316605</v>
      </c>
      <c r="H11" s="52">
        <v>2401</v>
      </c>
      <c r="I11" s="85" t="s">
        <v>129</v>
      </c>
      <c r="J11" s="77"/>
      <c r="K11" s="222">
        <v>3122485145.8099999</v>
      </c>
      <c r="L11" s="222">
        <v>488728785.29000002</v>
      </c>
      <c r="M11" s="83">
        <f>+K11-L11</f>
        <v>2633756360.52</v>
      </c>
      <c r="N11" s="123">
        <f t="shared" si="2"/>
        <v>5.3889937318858587</v>
      </c>
    </row>
    <row r="12" spans="1:25" s="2" customFormat="1" ht="26.25" customHeight="1" x14ac:dyDescent="0.2">
      <c r="A12" s="120">
        <v>1110</v>
      </c>
      <c r="B12" s="85" t="s">
        <v>105</v>
      </c>
      <c r="C12" s="77"/>
      <c r="D12" s="222">
        <v>189883568501.64001</v>
      </c>
      <c r="E12" s="222">
        <v>220006982503.39999</v>
      </c>
      <c r="F12" s="83">
        <f>+D12-E12</f>
        <v>-30123414001.759979</v>
      </c>
      <c r="G12" s="137">
        <f>+F12/E12</f>
        <v>-0.13692026343434099</v>
      </c>
      <c r="H12" s="52">
        <v>2407</v>
      </c>
      <c r="I12" s="85" t="s">
        <v>130</v>
      </c>
      <c r="J12" s="77"/>
      <c r="K12" s="222">
        <v>39955628</v>
      </c>
      <c r="L12" s="222">
        <v>17320125</v>
      </c>
      <c r="M12" s="83">
        <f t="shared" ref="M12:M14" si="3">+K12-L12</f>
        <v>22635503</v>
      </c>
      <c r="N12" s="123">
        <f t="shared" si="2"/>
        <v>1.3068902793715402</v>
      </c>
      <c r="P12" s="11">
        <f>+D10/$D$9*100</f>
        <v>67.755667111532702</v>
      </c>
      <c r="S12" s="11">
        <f>+K10/$K$35*100</f>
        <v>1198.0320979446717</v>
      </c>
    </row>
    <row r="13" spans="1:25" s="2" customFormat="1" ht="18" customHeight="1" x14ac:dyDescent="0.2">
      <c r="A13" s="120">
        <v>1133</v>
      </c>
      <c r="B13" s="47" t="s">
        <v>106</v>
      </c>
      <c r="C13" s="77"/>
      <c r="D13" s="222">
        <v>5752229080.4499998</v>
      </c>
      <c r="E13" s="222">
        <v>213129332.28999999</v>
      </c>
      <c r="F13" s="83">
        <f>+D13-E13</f>
        <v>5539099748.1599998</v>
      </c>
      <c r="G13" s="137">
        <f>+F13/E13</f>
        <v>25.989382543661701</v>
      </c>
      <c r="H13" s="52">
        <v>2424</v>
      </c>
      <c r="I13" s="85" t="s">
        <v>131</v>
      </c>
      <c r="J13" s="77"/>
      <c r="K13" s="222">
        <v>2084091363</v>
      </c>
      <c r="L13" s="222">
        <v>1566706939.76</v>
      </c>
      <c r="M13" s="83">
        <f t="shared" si="3"/>
        <v>517384423.24000001</v>
      </c>
      <c r="N13" s="123">
        <f t="shared" si="2"/>
        <v>0.33023688739085871</v>
      </c>
      <c r="P13" s="11">
        <f>+D18/$D$9*100</f>
        <v>1.0100163961669937E-4</v>
      </c>
      <c r="R13" s="11">
        <f>+K11/$K$10*100</f>
        <v>44.781279722465278</v>
      </c>
      <c r="S13" s="11"/>
    </row>
    <row r="14" spans="1:25" s="2" customFormat="1" ht="22.5" x14ac:dyDescent="0.2">
      <c r="A14" s="125">
        <v>12</v>
      </c>
      <c r="B14" s="151" t="s">
        <v>237</v>
      </c>
      <c r="C14" s="77"/>
      <c r="D14" s="84">
        <f>+D15</f>
        <v>85650044038.410004</v>
      </c>
      <c r="E14" s="84">
        <f t="shared" ref="E14:F14" si="4">+E15</f>
        <v>0</v>
      </c>
      <c r="F14" s="84">
        <f t="shared" si="4"/>
        <v>85650044038.410004</v>
      </c>
      <c r="G14" s="212" t="s">
        <v>6</v>
      </c>
      <c r="H14" s="52">
        <v>2436</v>
      </c>
      <c r="I14" s="85" t="s">
        <v>132</v>
      </c>
      <c r="J14" s="77"/>
      <c r="K14" s="222">
        <v>356695422.69</v>
      </c>
      <c r="L14" s="222">
        <v>242197314</v>
      </c>
      <c r="M14" s="83">
        <f t="shared" si="3"/>
        <v>114498108.69</v>
      </c>
      <c r="N14" s="123">
        <f t="shared" si="2"/>
        <v>0.47274722745273712</v>
      </c>
      <c r="P14" s="11"/>
      <c r="R14" s="11"/>
      <c r="S14" s="11"/>
      <c r="Y14" s="12"/>
    </row>
    <row r="15" spans="1:25" s="2" customFormat="1" ht="33.75" x14ac:dyDescent="0.2">
      <c r="A15" s="229">
        <v>1223</v>
      </c>
      <c r="B15" s="230" t="s">
        <v>236</v>
      </c>
      <c r="C15" s="49"/>
      <c r="D15" s="222">
        <v>85650044038.410004</v>
      </c>
      <c r="E15" s="84">
        <v>0</v>
      </c>
      <c r="F15" s="83">
        <f>+D15-E15</f>
        <v>85650044038.410004</v>
      </c>
      <c r="G15" s="213" t="s">
        <v>6</v>
      </c>
      <c r="H15" s="52">
        <v>2440</v>
      </c>
      <c r="I15" s="85" t="s">
        <v>133</v>
      </c>
      <c r="J15" s="77"/>
      <c r="K15" s="222">
        <v>325792038.60000002</v>
      </c>
      <c r="L15" s="222">
        <v>34624679</v>
      </c>
      <c r="M15" s="83">
        <f t="shared" ref="M15:M16" si="5">+K15-L15</f>
        <v>291167359.60000002</v>
      </c>
      <c r="N15" s="123">
        <f>+M15/L15</f>
        <v>8.4092435802798349</v>
      </c>
      <c r="P15" s="11"/>
      <c r="R15" s="11">
        <f>+K12/$K$10*100</f>
        <v>0.57302567359071133</v>
      </c>
      <c r="S15" s="11"/>
    </row>
    <row r="16" spans="1:25" s="2" customFormat="1" ht="20.25" customHeight="1" x14ac:dyDescent="0.2">
      <c r="A16" s="125">
        <v>13</v>
      </c>
      <c r="B16" s="50" t="s">
        <v>107</v>
      </c>
      <c r="C16" s="49"/>
      <c r="D16" s="84">
        <f>SUM(D17:D20)</f>
        <v>5922453896.1999998</v>
      </c>
      <c r="E16" s="84">
        <f t="shared" ref="E16:F16" si="6">SUM(E17:E20)</f>
        <v>9449534165</v>
      </c>
      <c r="F16" s="84">
        <f t="shared" si="6"/>
        <v>-3527080268.8000002</v>
      </c>
      <c r="G16" s="136">
        <f>+F16/E16</f>
        <v>-0.37325440674778493</v>
      </c>
      <c r="H16" s="47">
        <v>2490</v>
      </c>
      <c r="I16" s="47" t="s">
        <v>134</v>
      </c>
      <c r="J16" s="77"/>
      <c r="K16" s="222">
        <v>1043726971.8099999</v>
      </c>
      <c r="L16" s="222">
        <v>671363398.36000001</v>
      </c>
      <c r="M16" s="83">
        <f t="shared" si="5"/>
        <v>372363573.44999993</v>
      </c>
      <c r="N16" s="123">
        <f t="shared" ref="N16" si="7">+M16/L16</f>
        <v>0.55463788219555321</v>
      </c>
      <c r="P16" s="11">
        <f>+D20/$D$9*100</f>
        <v>6.2582554861979661E-4</v>
      </c>
      <c r="R16" s="11">
        <f>+K13/$K$10*100</f>
        <v>29.889102408993768</v>
      </c>
      <c r="S16" s="11"/>
    </row>
    <row r="17" spans="1:30" s="2" customFormat="1" ht="15.75" customHeight="1" x14ac:dyDescent="0.2">
      <c r="A17" s="124">
        <v>1311</v>
      </c>
      <c r="B17" s="85" t="s">
        <v>235</v>
      </c>
      <c r="C17" s="77"/>
      <c r="D17" s="222">
        <v>38438263</v>
      </c>
      <c r="E17" s="83">
        <v>0</v>
      </c>
      <c r="F17" s="83">
        <f t="shared" ref="F17:F20" si="8">+D17-E17</f>
        <v>38438263</v>
      </c>
      <c r="G17" s="213" t="s">
        <v>6</v>
      </c>
      <c r="H17" s="47"/>
      <c r="I17" s="47"/>
      <c r="J17" s="77"/>
      <c r="K17" s="222"/>
      <c r="L17" s="222"/>
      <c r="M17" s="83"/>
      <c r="N17" s="123"/>
      <c r="P17" s="11">
        <f>+D22/$D$20*100</f>
        <v>35928.225498904263</v>
      </c>
      <c r="R17" s="11">
        <f>+K15/$K$10*100</f>
        <v>4.6723631116311335</v>
      </c>
      <c r="S17" s="11"/>
    </row>
    <row r="18" spans="1:30" s="2" customFormat="1" ht="24.75" customHeight="1" x14ac:dyDescent="0.2">
      <c r="A18" s="124">
        <v>1316</v>
      </c>
      <c r="B18" s="85" t="s">
        <v>7</v>
      </c>
      <c r="C18" s="77"/>
      <c r="D18" s="222">
        <v>292750</v>
      </c>
      <c r="E18" s="222">
        <v>622000</v>
      </c>
      <c r="F18" s="83">
        <f t="shared" si="8"/>
        <v>-329250</v>
      </c>
      <c r="G18" s="137">
        <f>+F18/E18</f>
        <v>-0.52934083601286175</v>
      </c>
      <c r="H18" s="51">
        <v>25</v>
      </c>
      <c r="I18" s="151" t="s">
        <v>135</v>
      </c>
      <c r="J18" s="49"/>
      <c r="K18" s="84">
        <f>+K19</f>
        <v>15648990413.26</v>
      </c>
      <c r="L18" s="84">
        <f>+L19</f>
        <v>12055551319.1</v>
      </c>
      <c r="M18" s="84">
        <f>+M19</f>
        <v>3593439094.1599998</v>
      </c>
      <c r="N18" s="122">
        <f>+M18/L18</f>
        <v>0.29807339366278485</v>
      </c>
      <c r="P18" s="11"/>
      <c r="R18" s="11">
        <f>+K16/$K$10*100</f>
        <v>14.968663515092759</v>
      </c>
      <c r="S18" s="11">
        <f>+K16/$K$35*100</f>
        <v>179.32939354414438</v>
      </c>
    </row>
    <row r="19" spans="1:30" s="2" customFormat="1" ht="25.5" customHeight="1" x14ac:dyDescent="0.2">
      <c r="A19" s="127">
        <v>1317</v>
      </c>
      <c r="B19" s="85" t="s">
        <v>108</v>
      </c>
      <c r="C19" s="77"/>
      <c r="D19" s="222">
        <v>5881908948</v>
      </c>
      <c r="E19" s="222">
        <v>9448399645</v>
      </c>
      <c r="F19" s="83">
        <f t="shared" si="8"/>
        <v>-3566490697</v>
      </c>
      <c r="G19" s="137">
        <f t="shared" ref="G19:G20" si="9">+F19/E19</f>
        <v>-0.37747034746644653</v>
      </c>
      <c r="H19" s="54">
        <v>2511</v>
      </c>
      <c r="I19" s="85" t="s">
        <v>136</v>
      </c>
      <c r="J19" s="77"/>
      <c r="K19" s="222">
        <v>15648990413.26</v>
      </c>
      <c r="L19" s="222">
        <v>12055551319.1</v>
      </c>
      <c r="M19" s="83">
        <f>+K19-L19</f>
        <v>3593439094.1599998</v>
      </c>
      <c r="N19" s="123">
        <f>+M19/L19</f>
        <v>0.29807339366278485</v>
      </c>
      <c r="R19" s="11" t="e">
        <f>+#REF!/$K$10*100</f>
        <v>#REF!</v>
      </c>
      <c r="S19" s="11"/>
    </row>
    <row r="20" spans="1:30" s="2" customFormat="1" ht="17.25" customHeight="1" x14ac:dyDescent="0.2">
      <c r="A20" s="127">
        <v>1384</v>
      </c>
      <c r="B20" s="85" t="s">
        <v>109</v>
      </c>
      <c r="C20" s="77"/>
      <c r="D20" s="222">
        <v>1813935.2</v>
      </c>
      <c r="E20" s="222">
        <v>512520</v>
      </c>
      <c r="F20" s="83">
        <f t="shared" si="8"/>
        <v>1301415.2</v>
      </c>
      <c r="G20" s="137">
        <f t="shared" si="9"/>
        <v>2.5392476391165224</v>
      </c>
      <c r="H20" s="47"/>
      <c r="I20" s="47"/>
      <c r="J20" s="77"/>
      <c r="K20" s="83"/>
      <c r="L20" s="83"/>
      <c r="M20" s="83"/>
      <c r="N20" s="128"/>
      <c r="S20" s="11"/>
      <c r="X20" s="52"/>
      <c r="Y20" s="12"/>
      <c r="AD20" s="137"/>
    </row>
    <row r="21" spans="1:30" s="2" customFormat="1" ht="0.75" customHeight="1" x14ac:dyDescent="0.2">
      <c r="A21" s="127"/>
      <c r="B21" s="85"/>
      <c r="C21" s="77"/>
      <c r="D21" s="83"/>
      <c r="E21" s="222"/>
      <c r="F21" s="83"/>
      <c r="G21" s="137"/>
      <c r="H21" s="51"/>
      <c r="I21" s="50"/>
      <c r="J21" s="49"/>
      <c r="K21" s="84"/>
      <c r="L21" s="84"/>
      <c r="M21" s="84"/>
      <c r="N21" s="122"/>
      <c r="P21" s="11" t="e">
        <f>+#REF!/$D$20*100</f>
        <v>#REF!</v>
      </c>
      <c r="Q21" s="11"/>
      <c r="R21" s="11"/>
      <c r="S21" s="11">
        <f>+K18/$K$35*100</f>
        <v>2688.7529365284131</v>
      </c>
      <c r="X21" s="52"/>
      <c r="Y21" s="12"/>
      <c r="AD21" s="137"/>
    </row>
    <row r="22" spans="1:30" s="2" customFormat="1" ht="18" customHeight="1" x14ac:dyDescent="0.2">
      <c r="A22" s="125">
        <v>15</v>
      </c>
      <c r="B22" s="50" t="s">
        <v>111</v>
      </c>
      <c r="C22" s="49"/>
      <c r="D22" s="84">
        <f>SUM(D23:D25)</f>
        <v>651714729.06000006</v>
      </c>
      <c r="E22" s="84">
        <f>SUM(E23:E25)</f>
        <v>713112832.96000004</v>
      </c>
      <c r="F22" s="84">
        <f>SUM(F23:F25)</f>
        <v>-61398103.899999954</v>
      </c>
      <c r="G22" s="136">
        <f t="shared" ref="G22:G27" si="10">+F22/E22</f>
        <v>-8.6098722477265952E-2</v>
      </c>
      <c r="H22" s="51">
        <v>27</v>
      </c>
      <c r="I22" s="50" t="s">
        <v>137</v>
      </c>
      <c r="J22" s="49"/>
      <c r="K22" s="84">
        <f>SUM(K23:K24)</f>
        <v>232140630</v>
      </c>
      <c r="L22" s="84">
        <f>SUM(L23:L24)</f>
        <v>193170292</v>
      </c>
      <c r="M22" s="84">
        <f>SUM(M23:M24)</f>
        <v>38970338</v>
      </c>
      <c r="N22" s="122">
        <f>+M22/L22</f>
        <v>0.20174084532625752</v>
      </c>
      <c r="P22" s="11">
        <f>+D23/$D$20*100</f>
        <v>10500.213386343679</v>
      </c>
      <c r="R22" s="11"/>
      <c r="S22" s="11"/>
    </row>
    <row r="23" spans="1:30" s="2" customFormat="1" ht="18" customHeight="1" x14ac:dyDescent="0.2">
      <c r="A23" s="127">
        <v>1510</v>
      </c>
      <c r="B23" s="85" t="s">
        <v>112</v>
      </c>
      <c r="C23" s="77"/>
      <c r="D23" s="222">
        <v>190467066.69</v>
      </c>
      <c r="E23" s="222">
        <v>128918098.73999999</v>
      </c>
      <c r="F23" s="83">
        <f>+D23-E23</f>
        <v>61548967.950000003</v>
      </c>
      <c r="G23" s="137">
        <f t="shared" si="10"/>
        <v>0.47742689778671804</v>
      </c>
      <c r="H23" s="52">
        <v>2701</v>
      </c>
      <c r="I23" s="85" t="s">
        <v>28</v>
      </c>
      <c r="J23" s="77"/>
      <c r="K23" s="222">
        <v>232140630</v>
      </c>
      <c r="L23" s="222">
        <v>193170292</v>
      </c>
      <c r="M23" s="83">
        <f>+K23-L23</f>
        <v>38970338</v>
      </c>
      <c r="N23" s="123">
        <f>+M23/L23</f>
        <v>0.20174084532625752</v>
      </c>
      <c r="P23" s="11">
        <f>+D24/$D$20*100</f>
        <v>25304.25510293863</v>
      </c>
      <c r="R23" s="11"/>
      <c r="S23" s="11"/>
    </row>
    <row r="24" spans="1:30" s="2" customFormat="1" ht="18" customHeight="1" x14ac:dyDescent="0.2">
      <c r="A24" s="127">
        <v>1514</v>
      </c>
      <c r="B24" s="85" t="s">
        <v>113</v>
      </c>
      <c r="C24" s="77"/>
      <c r="D24" s="222">
        <v>459002790.41000003</v>
      </c>
      <c r="E24" s="222">
        <v>581546712.13999999</v>
      </c>
      <c r="F24" s="83">
        <f>+D24-E24</f>
        <v>-122543921.72999996</v>
      </c>
      <c r="G24" s="137">
        <f t="shared" si="10"/>
        <v>-0.21072068532389718</v>
      </c>
      <c r="H24" s="52"/>
      <c r="I24" s="85"/>
      <c r="J24" s="78"/>
      <c r="K24" s="83"/>
      <c r="L24" s="83"/>
      <c r="M24" s="83"/>
      <c r="N24" s="123"/>
      <c r="P24" s="11"/>
      <c r="R24" s="11"/>
      <c r="S24" s="11">
        <f>+K21/$K$35*100</f>
        <v>0</v>
      </c>
      <c r="Y24" s="12"/>
    </row>
    <row r="25" spans="1:30" s="2" customFormat="1" ht="18.75" customHeight="1" x14ac:dyDescent="0.2">
      <c r="A25" s="120">
        <v>1530</v>
      </c>
      <c r="B25" s="47" t="s">
        <v>9</v>
      </c>
      <c r="C25" s="77"/>
      <c r="D25" s="222">
        <v>2244871.96</v>
      </c>
      <c r="E25" s="222">
        <v>2648022.08</v>
      </c>
      <c r="F25" s="83">
        <f t="shared" ref="F25" si="11">+D25-E25</f>
        <v>-403150.12000000011</v>
      </c>
      <c r="G25" s="137">
        <f t="shared" si="10"/>
        <v>-0.152245754687967</v>
      </c>
      <c r="H25" s="53"/>
      <c r="I25" s="54"/>
      <c r="J25" s="78"/>
      <c r="K25" s="83"/>
      <c r="L25" s="83"/>
      <c r="M25" s="83"/>
      <c r="N25" s="123"/>
      <c r="P25" s="11" t="e">
        <f>+#REF!/$D$9*100</f>
        <v>#REF!</v>
      </c>
      <c r="R25" s="11"/>
      <c r="S25" s="11"/>
      <c r="Z25" s="12"/>
    </row>
    <row r="26" spans="1:30" s="2" customFormat="1" ht="18.75" customHeight="1" x14ac:dyDescent="0.2">
      <c r="A26" s="125">
        <v>19</v>
      </c>
      <c r="B26" s="50" t="s">
        <v>11</v>
      </c>
      <c r="C26" s="49"/>
      <c r="D26" s="84">
        <f>SUM(D27:D27)</f>
        <v>1234947889.78</v>
      </c>
      <c r="E26" s="84">
        <f>SUM(E27:E27)</f>
        <v>1056775743.53</v>
      </c>
      <c r="F26" s="84">
        <f>SUM(F27:F27)</f>
        <v>178172146.25</v>
      </c>
      <c r="G26" s="136">
        <f t="shared" si="10"/>
        <v>0.16859976900571433</v>
      </c>
      <c r="H26" s="51">
        <v>29</v>
      </c>
      <c r="I26" s="50" t="s">
        <v>10</v>
      </c>
      <c r="J26" s="49"/>
      <c r="K26" s="84">
        <f>SUM(K27:K29)</f>
        <v>13841867505.92</v>
      </c>
      <c r="L26" s="84">
        <f t="shared" ref="L26:M26" si="12">SUM(L27:L29)</f>
        <v>3665409602.8000002</v>
      </c>
      <c r="M26" s="84">
        <f t="shared" si="12"/>
        <v>10176457903.119999</v>
      </c>
      <c r="N26" s="122">
        <f>+M26/L26</f>
        <v>2.7763494413683589</v>
      </c>
      <c r="R26" s="11"/>
      <c r="S26" s="11"/>
    </row>
    <row r="27" spans="1:30" s="2" customFormat="1" ht="23.25" customHeight="1" x14ac:dyDescent="0.2">
      <c r="A27" s="127">
        <v>1906</v>
      </c>
      <c r="B27" s="85" t="s">
        <v>8</v>
      </c>
      <c r="C27" s="78"/>
      <c r="D27" s="222">
        <v>1234947889.78</v>
      </c>
      <c r="E27" s="222">
        <v>1056775743.53</v>
      </c>
      <c r="F27" s="83">
        <f>+D27-E27</f>
        <v>178172146.25</v>
      </c>
      <c r="G27" s="137">
        <f t="shared" si="10"/>
        <v>0.16859976900571433</v>
      </c>
      <c r="H27" s="52">
        <v>2902</v>
      </c>
      <c r="I27" s="85" t="s">
        <v>138</v>
      </c>
      <c r="J27" s="77"/>
      <c r="K27" s="222">
        <v>12362292428.09</v>
      </c>
      <c r="L27" s="222">
        <v>1807727932.4200001</v>
      </c>
      <c r="M27" s="83">
        <f>+K27-L27</f>
        <v>10554564495.67</v>
      </c>
      <c r="N27" s="123">
        <f>+M27/L27</f>
        <v>5.838580190294806</v>
      </c>
      <c r="R27" s="11"/>
      <c r="S27" s="11"/>
    </row>
    <row r="28" spans="1:30" s="2" customFormat="1" ht="21.95" customHeight="1" x14ac:dyDescent="0.2">
      <c r="A28" s="120"/>
      <c r="B28" s="46" t="s">
        <v>114</v>
      </c>
      <c r="C28" s="49"/>
      <c r="D28" s="138">
        <f>D29+D32+D47+D49</f>
        <v>333597719630.33997</v>
      </c>
      <c r="E28" s="138">
        <f>E29+E32+E47+E49</f>
        <v>291125001477.67004</v>
      </c>
      <c r="F28" s="138">
        <f>F29+F32+F47+F49</f>
        <v>42472718152.669998</v>
      </c>
      <c r="G28" s="139">
        <f>+F28/E28</f>
        <v>0.14589168892087667</v>
      </c>
      <c r="H28" s="47">
        <v>2910</v>
      </c>
      <c r="I28" s="85" t="s">
        <v>12</v>
      </c>
      <c r="J28" s="77"/>
      <c r="K28" s="222">
        <v>185265880</v>
      </c>
      <c r="L28" s="222">
        <v>307735445</v>
      </c>
      <c r="M28" s="83">
        <f>+K28-L28</f>
        <v>-122469565</v>
      </c>
      <c r="N28" s="123">
        <f>+M28/L28</f>
        <v>-0.3979702923074071</v>
      </c>
      <c r="R28" s="11"/>
      <c r="S28" s="11">
        <f>+K25/$K$35*100</f>
        <v>0</v>
      </c>
    </row>
    <row r="29" spans="1:30" s="2" customFormat="1" ht="21" customHeight="1" x14ac:dyDescent="0.2">
      <c r="A29" s="125">
        <v>13</v>
      </c>
      <c r="B29" s="50" t="s">
        <v>107</v>
      </c>
      <c r="C29" s="49"/>
      <c r="D29" s="84">
        <f>SUM(D30:D31)</f>
        <v>311289.73999999464</v>
      </c>
      <c r="E29" s="84">
        <f>SUM(E30:E31)</f>
        <v>3829306.880000025</v>
      </c>
      <c r="F29" s="84">
        <f>SUM(F30:F31)</f>
        <v>-3518017.1400000304</v>
      </c>
      <c r="G29" s="136">
        <f>+F29/E29</f>
        <v>-0.91870859407329808</v>
      </c>
      <c r="H29" s="47" t="s">
        <v>190</v>
      </c>
      <c r="I29" s="85" t="s">
        <v>191</v>
      </c>
      <c r="J29" s="77"/>
      <c r="K29" s="222">
        <v>1294309197.8299999</v>
      </c>
      <c r="L29" s="222">
        <v>1549946225.3800001</v>
      </c>
      <c r="M29" s="83">
        <f>+K29-L29</f>
        <v>-255637027.55000019</v>
      </c>
      <c r="N29" s="123">
        <f>+M29/L29</f>
        <v>-0.16493283661329972</v>
      </c>
      <c r="R29" s="11"/>
      <c r="S29" s="11"/>
    </row>
    <row r="30" spans="1:30" s="2" customFormat="1" ht="25.5" customHeight="1" x14ac:dyDescent="0.2">
      <c r="A30" s="127">
        <v>1385</v>
      </c>
      <c r="B30" s="85" t="s">
        <v>193</v>
      </c>
      <c r="C30" s="77"/>
      <c r="D30" s="222">
        <v>100426376</v>
      </c>
      <c r="E30" s="222">
        <v>177335797.30000001</v>
      </c>
      <c r="F30" s="83">
        <f t="shared" ref="F30:F31" si="13">+D30-E30</f>
        <v>-76909421.300000012</v>
      </c>
      <c r="G30" s="137">
        <f t="shared" ref="G30:G31" si="14">+F30/E30</f>
        <v>-0.43369371819436936</v>
      </c>
      <c r="H30" s="47"/>
      <c r="I30" s="46"/>
      <c r="J30" s="49"/>
      <c r="K30" s="84"/>
      <c r="L30" s="84"/>
      <c r="M30" s="84"/>
      <c r="N30" s="122"/>
      <c r="P30" s="11"/>
      <c r="R30" s="11"/>
      <c r="S30" s="11"/>
    </row>
    <row r="31" spans="1:30" s="2" customFormat="1" ht="24" customHeight="1" x14ac:dyDescent="0.2">
      <c r="A31" s="127">
        <v>1386</v>
      </c>
      <c r="B31" s="85" t="s">
        <v>110</v>
      </c>
      <c r="C31" s="77"/>
      <c r="D31" s="222">
        <v>-100115086.26000001</v>
      </c>
      <c r="E31" s="222">
        <v>-173506490.41999999</v>
      </c>
      <c r="F31" s="83">
        <f t="shared" si="13"/>
        <v>73391404.159999982</v>
      </c>
      <c r="G31" s="137">
        <f t="shared" si="14"/>
        <v>-0.42298938778799827</v>
      </c>
      <c r="H31" s="52"/>
      <c r="I31" s="85"/>
      <c r="J31" s="77"/>
      <c r="K31" s="83"/>
      <c r="L31" s="83"/>
      <c r="M31" s="83"/>
      <c r="N31" s="12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25">
        <v>16</v>
      </c>
      <c r="B32" s="51" t="s">
        <v>115</v>
      </c>
      <c r="C32" s="49"/>
      <c r="D32" s="84">
        <f>SUM(D33:D46)</f>
        <v>331531051609.43994</v>
      </c>
      <c r="E32" s="84">
        <f t="shared" ref="E32:F32" si="15">SUM(E33:E46)</f>
        <v>289082767311.55005</v>
      </c>
      <c r="F32" s="84">
        <f t="shared" si="15"/>
        <v>42448284297.889999</v>
      </c>
      <c r="G32" s="136">
        <f>+F32/E32</f>
        <v>0.14683782327343875</v>
      </c>
      <c r="H32" s="47"/>
      <c r="I32" s="46" t="s">
        <v>139</v>
      </c>
      <c r="J32" s="141"/>
      <c r="K32" s="138">
        <f>+K34+K37</f>
        <v>644310570</v>
      </c>
      <c r="L32" s="138">
        <f t="shared" ref="L32:M32" si="16">+L34+L37</f>
        <v>510493596</v>
      </c>
      <c r="M32" s="138">
        <f t="shared" si="16"/>
        <v>133816974</v>
      </c>
      <c r="N32" s="140">
        <f>+M32/L32</f>
        <v>0.2621325224224752</v>
      </c>
      <c r="P32" s="11"/>
      <c r="S32" s="11"/>
    </row>
    <row r="33" spans="1:26" s="2" customFormat="1" ht="16.5" customHeight="1" x14ac:dyDescent="0.2">
      <c r="A33" s="127">
        <v>1605</v>
      </c>
      <c r="B33" s="47" t="s">
        <v>14</v>
      </c>
      <c r="C33" s="77"/>
      <c r="D33" s="83">
        <v>268587060279.28</v>
      </c>
      <c r="E33" s="222">
        <v>238583643185.28</v>
      </c>
      <c r="F33" s="83">
        <f t="shared" ref="F33:F44" si="17">+D33-E33</f>
        <v>30003417094</v>
      </c>
      <c r="G33" s="137">
        <f t="shared" ref="G33:G43" si="18">+F33/E33</f>
        <v>0.12575638754371715</v>
      </c>
      <c r="H33" s="52"/>
      <c r="I33" s="85"/>
      <c r="J33" s="77"/>
      <c r="K33" s="83"/>
      <c r="L33" s="83"/>
      <c r="M33" s="83"/>
      <c r="N33" s="123"/>
      <c r="R33" s="11"/>
    </row>
    <row r="34" spans="1:26" s="2" customFormat="1" ht="21.75" customHeight="1" x14ac:dyDescent="0.2">
      <c r="A34" s="127">
        <v>1615</v>
      </c>
      <c r="B34" s="85" t="s">
        <v>116</v>
      </c>
      <c r="C34" s="177"/>
      <c r="D34" s="83">
        <v>249733128.78</v>
      </c>
      <c r="E34" s="222">
        <v>249733128.78</v>
      </c>
      <c r="F34" s="83">
        <f t="shared" si="17"/>
        <v>0</v>
      </c>
      <c r="G34" s="137">
        <f t="shared" si="18"/>
        <v>0</v>
      </c>
      <c r="H34" s="51">
        <v>25</v>
      </c>
      <c r="I34" s="99" t="s">
        <v>135</v>
      </c>
      <c r="J34" s="49"/>
      <c r="K34" s="84">
        <f>SUM(K35:K36)</f>
        <v>582016674</v>
      </c>
      <c r="L34" s="84">
        <f>SUM(L35:L36)</f>
        <v>466975722</v>
      </c>
      <c r="M34" s="84">
        <f>SUM(M35:M36)</f>
        <v>115040952</v>
      </c>
      <c r="N34" s="122">
        <f>+M34/L34</f>
        <v>0.24635317550834046</v>
      </c>
      <c r="P34" s="11"/>
      <c r="S34" s="11"/>
    </row>
    <row r="35" spans="1:26" s="2" customFormat="1" ht="24" customHeight="1" x14ac:dyDescent="0.2">
      <c r="A35" s="127">
        <v>1635</v>
      </c>
      <c r="B35" s="85" t="s">
        <v>16</v>
      </c>
      <c r="C35" s="177"/>
      <c r="D35" s="222">
        <v>59667465</v>
      </c>
      <c r="E35" s="222">
        <v>85531851</v>
      </c>
      <c r="F35" s="83">
        <f t="shared" si="17"/>
        <v>-25864386</v>
      </c>
      <c r="G35" s="137">
        <f t="shared" si="18"/>
        <v>-0.30239478857998758</v>
      </c>
      <c r="H35" s="52">
        <v>2512</v>
      </c>
      <c r="I35" s="85" t="s">
        <v>140</v>
      </c>
      <c r="J35" s="77"/>
      <c r="K35" s="222">
        <v>582016674</v>
      </c>
      <c r="L35" s="222">
        <v>466975722</v>
      </c>
      <c r="M35" s="83">
        <f>+K35-L35</f>
        <v>115040952</v>
      </c>
      <c r="N35" s="123">
        <f>+M35/L35</f>
        <v>0.24635317550834046</v>
      </c>
      <c r="R35" s="11" t="e">
        <f>+#REF!/$K$35*100</f>
        <v>#REF!</v>
      </c>
      <c r="S35" s="11"/>
    </row>
    <row r="36" spans="1:26" s="2" customFormat="1" ht="23.25" customHeight="1" x14ac:dyDescent="0.2">
      <c r="A36" s="127">
        <v>1637</v>
      </c>
      <c r="B36" s="85" t="s">
        <v>117</v>
      </c>
      <c r="C36" s="177"/>
      <c r="D36" s="222">
        <v>414636897.94999999</v>
      </c>
      <c r="E36" s="222">
        <v>101325842</v>
      </c>
      <c r="F36" s="83">
        <f t="shared" si="17"/>
        <v>313311055.94999999</v>
      </c>
      <c r="G36" s="137">
        <f t="shared" si="18"/>
        <v>3.0921140132247804</v>
      </c>
      <c r="H36" s="160"/>
      <c r="I36" s="85"/>
      <c r="J36" s="77"/>
      <c r="K36" s="83"/>
      <c r="L36" s="83"/>
      <c r="M36" s="83"/>
      <c r="N36" s="123"/>
      <c r="R36" s="11"/>
      <c r="S36" s="11"/>
    </row>
    <row r="37" spans="1:26" s="2" customFormat="1" ht="16.5" customHeight="1" x14ac:dyDescent="0.2">
      <c r="A37" s="127">
        <v>1640</v>
      </c>
      <c r="B37" s="85" t="s">
        <v>17</v>
      </c>
      <c r="C37" s="77"/>
      <c r="D37" s="222">
        <v>59024909680.839996</v>
      </c>
      <c r="E37" s="222">
        <v>45764095273.839996</v>
      </c>
      <c r="F37" s="83">
        <f t="shared" si="17"/>
        <v>13260814407</v>
      </c>
      <c r="G37" s="137">
        <f t="shared" si="18"/>
        <v>0.28976459225624074</v>
      </c>
      <c r="H37" s="51">
        <v>27</v>
      </c>
      <c r="I37" s="50" t="s">
        <v>137</v>
      </c>
      <c r="J37" s="49"/>
      <c r="K37" s="84">
        <f>+K38</f>
        <v>62293896</v>
      </c>
      <c r="L37" s="84">
        <f>+L38</f>
        <v>43517874</v>
      </c>
      <c r="M37" s="84">
        <f>SUM(M38:M39)</f>
        <v>18776022</v>
      </c>
      <c r="N37" s="122">
        <f>+M37/L37</f>
        <v>0.4314554061165764</v>
      </c>
      <c r="R37" s="11"/>
      <c r="S37" s="11"/>
    </row>
    <row r="38" spans="1:26" s="2" customFormat="1" ht="16.5" customHeight="1" x14ac:dyDescent="0.2">
      <c r="A38" s="127">
        <v>1655</v>
      </c>
      <c r="B38" s="85" t="s">
        <v>19</v>
      </c>
      <c r="C38" s="177"/>
      <c r="D38" s="222">
        <v>2112810243.3</v>
      </c>
      <c r="E38" s="222">
        <v>1944828209.9000001</v>
      </c>
      <c r="F38" s="83">
        <f t="shared" si="17"/>
        <v>167982033.39999986</v>
      </c>
      <c r="G38" s="137">
        <f t="shared" si="18"/>
        <v>8.6373712878546338E-2</v>
      </c>
      <c r="H38" s="52">
        <v>2701</v>
      </c>
      <c r="I38" s="85" t="s">
        <v>28</v>
      </c>
      <c r="J38" s="77"/>
      <c r="K38" s="83">
        <v>62293896</v>
      </c>
      <c r="L38" s="222">
        <v>43517874</v>
      </c>
      <c r="M38" s="83">
        <f>+K38-L38</f>
        <v>18776022</v>
      </c>
      <c r="N38" s="123">
        <f>+M38/L38</f>
        <v>0.4314554061165764</v>
      </c>
      <c r="P38" s="44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27">
        <v>1660</v>
      </c>
      <c r="B39" s="85" t="s">
        <v>118</v>
      </c>
      <c r="C39" s="177"/>
      <c r="D39" s="222">
        <v>2492226612.46</v>
      </c>
      <c r="E39" s="222">
        <v>2544049053.46</v>
      </c>
      <c r="F39" s="83">
        <f t="shared" si="17"/>
        <v>-51822441</v>
      </c>
      <c r="G39" s="137">
        <f t="shared" si="18"/>
        <v>-2.0370063591941979E-2</v>
      </c>
      <c r="H39" s="47"/>
      <c r="I39" s="47"/>
      <c r="J39" s="77"/>
      <c r="K39" s="83"/>
      <c r="L39" s="83"/>
      <c r="M39" s="83"/>
      <c r="N39" s="123"/>
      <c r="R39" s="11"/>
    </row>
    <row r="40" spans="1:26" s="2" customFormat="1" ht="21.75" customHeight="1" x14ac:dyDescent="0.2">
      <c r="A40" s="127">
        <v>1665</v>
      </c>
      <c r="B40" s="85" t="s">
        <v>119</v>
      </c>
      <c r="C40" s="177"/>
      <c r="D40" s="222">
        <v>2176660001</v>
      </c>
      <c r="E40" s="222">
        <v>1196149975.23</v>
      </c>
      <c r="F40" s="83">
        <f t="shared" si="17"/>
        <v>980510025.76999998</v>
      </c>
      <c r="G40" s="137">
        <f t="shared" si="18"/>
        <v>0.81972164534088965</v>
      </c>
      <c r="H40" s="47"/>
      <c r="I40" s="46" t="s">
        <v>13</v>
      </c>
      <c r="J40" s="49"/>
      <c r="K40" s="138">
        <f>+K9+K32</f>
        <v>37340055689.089996</v>
      </c>
      <c r="L40" s="138">
        <f t="shared" ref="L40:M40" si="19">+L9+L32</f>
        <v>19445566051.310001</v>
      </c>
      <c r="M40" s="138">
        <f t="shared" si="19"/>
        <v>17894489637.779999</v>
      </c>
      <c r="N40" s="140">
        <f>+M40/L40</f>
        <v>0.92023495693376789</v>
      </c>
      <c r="P40" s="44">
        <f>+D32/D55*100</f>
        <v>53.177316007886567</v>
      </c>
      <c r="R40" s="11"/>
      <c r="S40" s="11"/>
    </row>
    <row r="41" spans="1:26" s="2" customFormat="1" ht="24" customHeight="1" x14ac:dyDescent="0.2">
      <c r="A41" s="127">
        <v>1670</v>
      </c>
      <c r="B41" s="85" t="s">
        <v>120</v>
      </c>
      <c r="C41" s="177"/>
      <c r="D41" s="222">
        <v>12830983922.91</v>
      </c>
      <c r="E41" s="222">
        <v>12526706240.18</v>
      </c>
      <c r="F41" s="83">
        <f t="shared" si="17"/>
        <v>304277682.72999954</v>
      </c>
      <c r="G41" s="137">
        <f t="shared" si="18"/>
        <v>2.4290318372280059E-2</v>
      </c>
      <c r="H41" s="47"/>
      <c r="I41" s="46"/>
      <c r="J41" s="49"/>
      <c r="K41" s="208"/>
      <c r="L41" s="208"/>
      <c r="M41" s="208"/>
      <c r="N41" s="209"/>
      <c r="P41" s="11">
        <f>+D33/$D$32*100</f>
        <v>81.014149044382407</v>
      </c>
      <c r="R41" s="11"/>
      <c r="S41" s="11"/>
    </row>
    <row r="42" spans="1:26" s="2" customFormat="1" ht="24" customHeight="1" x14ac:dyDescent="0.2">
      <c r="A42" s="127">
        <v>1675</v>
      </c>
      <c r="B42" s="85" t="s">
        <v>121</v>
      </c>
      <c r="C42" s="177"/>
      <c r="D42" s="222">
        <v>1929741121</v>
      </c>
      <c r="E42" s="222">
        <v>1929741121</v>
      </c>
      <c r="F42" s="83">
        <f t="shared" si="17"/>
        <v>0</v>
      </c>
      <c r="G42" s="137">
        <f t="shared" si="18"/>
        <v>0</v>
      </c>
      <c r="H42" s="47"/>
      <c r="I42" s="46"/>
      <c r="J42" s="49"/>
      <c r="K42" s="84"/>
      <c r="L42" s="84"/>
      <c r="M42" s="84"/>
      <c r="N42" s="122"/>
      <c r="P42" s="11"/>
      <c r="R42" s="11"/>
      <c r="S42" s="11"/>
    </row>
    <row r="43" spans="1:26" s="2" customFormat="1" ht="21.95" customHeight="1" x14ac:dyDescent="0.2">
      <c r="A43" s="127">
        <v>1680</v>
      </c>
      <c r="B43" s="85" t="s">
        <v>122</v>
      </c>
      <c r="C43" s="177"/>
      <c r="D43" s="222">
        <v>670764729.19000006</v>
      </c>
      <c r="E43" s="222">
        <v>550476931.42999995</v>
      </c>
      <c r="F43" s="83">
        <f t="shared" si="17"/>
        <v>120287797.76000011</v>
      </c>
      <c r="G43" s="137">
        <f t="shared" si="18"/>
        <v>0.21851560145767202</v>
      </c>
      <c r="H43" s="53"/>
      <c r="I43" s="47"/>
      <c r="J43" s="77"/>
      <c r="K43" s="210"/>
      <c r="L43" s="210"/>
      <c r="M43" s="210"/>
      <c r="N43" s="211"/>
      <c r="P43" s="33">
        <f>+D34/$D$32*100</f>
        <v>7.5327221256547047E-2</v>
      </c>
      <c r="Q43" s="11">
        <f>+D32/D55*100</f>
        <v>53.177316007886567</v>
      </c>
      <c r="R43" s="11"/>
      <c r="S43" s="11"/>
    </row>
    <row r="44" spans="1:26" s="2" customFormat="1" ht="20.25" customHeight="1" x14ac:dyDescent="0.2">
      <c r="A44" s="127">
        <v>1681</v>
      </c>
      <c r="B44" s="85" t="s">
        <v>23</v>
      </c>
      <c r="C44" s="177"/>
      <c r="D44" s="222">
        <v>1714231433.1099999</v>
      </c>
      <c r="E44" s="222">
        <v>1432588454.6700001</v>
      </c>
      <c r="F44" s="83">
        <f t="shared" si="17"/>
        <v>281642978.43999982</v>
      </c>
      <c r="G44" s="137">
        <f>+F44/E44</f>
        <v>0.19659726945438555</v>
      </c>
      <c r="H44" s="47"/>
      <c r="I44" s="214" t="s">
        <v>15</v>
      </c>
      <c r="J44" s="49"/>
      <c r="K44" s="138">
        <f>+K47</f>
        <v>586104443766.78992</v>
      </c>
      <c r="L44" s="138">
        <f>+L47</f>
        <v>503770177900.53998</v>
      </c>
      <c r="M44" s="138">
        <f>+M47</f>
        <v>82334265866.249985</v>
      </c>
      <c r="N44" s="140">
        <f>+M44/L44</f>
        <v>0.16343616489840204</v>
      </c>
      <c r="R44" s="11"/>
      <c r="S44" s="11"/>
    </row>
    <row r="45" spans="1:26" s="2" customFormat="1" ht="25.5" customHeight="1" x14ac:dyDescent="0.2">
      <c r="A45" s="120">
        <v>1685</v>
      </c>
      <c r="B45" s="85" t="s">
        <v>123</v>
      </c>
      <c r="C45" s="77"/>
      <c r="D45" s="222">
        <v>-20482640776.599998</v>
      </c>
      <c r="E45" s="222">
        <v>-17826101955.220001</v>
      </c>
      <c r="F45" s="83">
        <f t="shared" ref="F45:F46" si="20">+D45-E45</f>
        <v>-2656538821.3799973</v>
      </c>
      <c r="G45" s="137">
        <f>+F45/E45</f>
        <v>0.14902522312804822</v>
      </c>
      <c r="H45" s="53"/>
      <c r="I45" s="47"/>
      <c r="J45" s="77"/>
      <c r="K45" s="84"/>
      <c r="L45" s="84"/>
      <c r="M45" s="84"/>
      <c r="N45" s="128"/>
      <c r="P45" s="11"/>
      <c r="R45" s="11"/>
      <c r="S45" s="11"/>
    </row>
    <row r="46" spans="1:26" s="2" customFormat="1" ht="25.5" customHeight="1" x14ac:dyDescent="0.2">
      <c r="A46" s="120">
        <v>1695</v>
      </c>
      <c r="B46" s="85" t="s">
        <v>228</v>
      </c>
      <c r="C46" s="77"/>
      <c r="D46" s="222">
        <v>-249733128.78</v>
      </c>
      <c r="E46" s="222">
        <v>0</v>
      </c>
      <c r="F46" s="83">
        <f t="shared" si="20"/>
        <v>-249733128.78</v>
      </c>
      <c r="G46" s="213" t="s">
        <v>6</v>
      </c>
      <c r="H46" s="53"/>
      <c r="I46" s="47"/>
      <c r="J46" s="77"/>
      <c r="K46" s="84"/>
      <c r="L46" s="84"/>
      <c r="M46" s="84"/>
      <c r="N46" s="128"/>
      <c r="P46" s="11"/>
      <c r="R46" s="11"/>
      <c r="S46" s="11"/>
    </row>
    <row r="47" spans="1:26" s="2" customFormat="1" ht="33.75" x14ac:dyDescent="0.2">
      <c r="A47" s="125">
        <v>17</v>
      </c>
      <c r="B47" s="151" t="s">
        <v>21</v>
      </c>
      <c r="C47" s="49"/>
      <c r="D47" s="84">
        <f>+D48</f>
        <v>46206747.32</v>
      </c>
      <c r="E47" s="84">
        <f>+E48</f>
        <v>46206747.32</v>
      </c>
      <c r="F47" s="84">
        <f>+F48</f>
        <v>0</v>
      </c>
      <c r="G47" s="136">
        <f>+F47/E47</f>
        <v>0</v>
      </c>
      <c r="H47" s="51">
        <v>31</v>
      </c>
      <c r="I47" s="151" t="s">
        <v>150</v>
      </c>
      <c r="J47" s="49"/>
      <c r="K47" s="84">
        <f>SUM(K48:K52)</f>
        <v>586104443766.78992</v>
      </c>
      <c r="L47" s="84">
        <f>SUM(L48:L52)</f>
        <v>503770177900.53998</v>
      </c>
      <c r="M47" s="84">
        <f>SUM(M48:M52)</f>
        <v>82334265866.249985</v>
      </c>
      <c r="N47" s="122">
        <f t="shared" ref="N47:N49" si="21">+M47/L47</f>
        <v>0.16343616489840204</v>
      </c>
      <c r="P47" s="11">
        <f>+D36/$D$32*100</f>
        <v>0.12506728885186383</v>
      </c>
      <c r="R47" s="11">
        <f>+K41/$K$38*100</f>
        <v>0</v>
      </c>
      <c r="S47" s="11"/>
    </row>
    <row r="48" spans="1:26" s="2" customFormat="1" ht="18.75" customHeight="1" x14ac:dyDescent="0.2">
      <c r="A48" s="127">
        <v>1715</v>
      </c>
      <c r="B48" s="54" t="s">
        <v>22</v>
      </c>
      <c r="C48" s="78"/>
      <c r="D48" s="83">
        <v>46206747.32</v>
      </c>
      <c r="E48" s="83">
        <v>46206747.32</v>
      </c>
      <c r="F48" s="83">
        <f>+D48-E48</f>
        <v>0</v>
      </c>
      <c r="G48" s="137">
        <f>+F48/E48</f>
        <v>0</v>
      </c>
      <c r="H48" s="52">
        <v>3105</v>
      </c>
      <c r="I48" s="85" t="s">
        <v>18</v>
      </c>
      <c r="J48" s="77"/>
      <c r="K48" s="83">
        <v>44239962579.480003</v>
      </c>
      <c r="L48" s="222">
        <v>44239962579.480003</v>
      </c>
      <c r="M48" s="83">
        <f>+K48-L48</f>
        <v>0</v>
      </c>
      <c r="N48" s="123">
        <f>+M48/L48</f>
        <v>0</v>
      </c>
      <c r="P48" s="33">
        <f>+D37/$D$32*100</f>
        <v>17.803734942564077</v>
      </c>
      <c r="R48" s="11">
        <f>+K44/$K$38*100</f>
        <v>940869.78243709449</v>
      </c>
      <c r="S48" s="11"/>
    </row>
    <row r="49" spans="1:26" s="2" customFormat="1" ht="21.95" customHeight="1" x14ac:dyDescent="0.2">
      <c r="A49" s="125">
        <v>19</v>
      </c>
      <c r="B49" s="50" t="s">
        <v>11</v>
      </c>
      <c r="C49" s="49"/>
      <c r="D49" s="84">
        <f>SUM(D50:D54)</f>
        <v>2020149983.8399999</v>
      </c>
      <c r="E49" s="84">
        <f>SUM(E50:E54)</f>
        <v>1992198111.9199998</v>
      </c>
      <c r="F49" s="84">
        <f>SUM(F50:F54)</f>
        <v>27951871.920000136</v>
      </c>
      <c r="G49" s="136">
        <f t="shared" ref="G49" si="22">+F49/E49</f>
        <v>1.4030668813886815E-2</v>
      </c>
      <c r="H49" s="52">
        <v>3109</v>
      </c>
      <c r="I49" s="85" t="s">
        <v>151</v>
      </c>
      <c r="J49" s="77"/>
      <c r="K49" s="222">
        <v>509801659885.22998</v>
      </c>
      <c r="L49" s="222">
        <v>429957078676.41998</v>
      </c>
      <c r="M49" s="83">
        <f>+K49-L49</f>
        <v>79844581208.809998</v>
      </c>
      <c r="N49" s="123">
        <f t="shared" si="21"/>
        <v>0.18570360896162841</v>
      </c>
      <c r="P49" s="11">
        <f>+D39/$D$32*100</f>
        <v>0.75173248489434608</v>
      </c>
      <c r="R49" s="11">
        <f>+K45/$K$38*100</f>
        <v>0</v>
      </c>
      <c r="S49" s="11"/>
    </row>
    <row r="50" spans="1:26" s="2" customFormat="1" ht="24" customHeight="1" x14ac:dyDescent="0.2">
      <c r="A50" s="127">
        <v>1905</v>
      </c>
      <c r="B50" s="85" t="s">
        <v>229</v>
      </c>
      <c r="C50" s="77"/>
      <c r="D50" s="222">
        <v>110208166.59999999</v>
      </c>
      <c r="E50" s="222">
        <v>32715806.66</v>
      </c>
      <c r="F50" s="83">
        <f>+D50-E50</f>
        <v>77492359.939999998</v>
      </c>
      <c r="G50" s="137">
        <f>+F50/E50</f>
        <v>2.3686519713648413</v>
      </c>
      <c r="H50" s="52">
        <v>3110</v>
      </c>
      <c r="I50" s="85" t="s">
        <v>20</v>
      </c>
      <c r="J50" s="77"/>
      <c r="K50" s="83">
        <f>+'EST RESUL JUNIO 2025-2024'!D77</f>
        <v>32062821302.079994</v>
      </c>
      <c r="L50" s="83">
        <f>+'EST RESUL JUNIO 2025-2024'!E77</f>
        <v>29573136644.640003</v>
      </c>
      <c r="M50" s="83">
        <f>+K50-L50</f>
        <v>2489684657.439991</v>
      </c>
      <c r="N50" s="123">
        <f>+M50/L50</f>
        <v>8.4187372051764922E-2</v>
      </c>
      <c r="P50" s="11">
        <f>+D40/$D$32*100</f>
        <v>0.65654785288836648</v>
      </c>
      <c r="R50" s="11" t="e">
        <f>+#REF!/$K$38*100</f>
        <v>#REF!</v>
      </c>
      <c r="S50" s="11"/>
    </row>
    <row r="51" spans="1:26" s="2" customFormat="1" ht="24" customHeight="1" x14ac:dyDescent="0.2">
      <c r="A51" s="127">
        <v>1908</v>
      </c>
      <c r="B51" s="85" t="s">
        <v>239</v>
      </c>
      <c r="C51" s="77"/>
      <c r="D51" s="222">
        <v>245947886.13999999</v>
      </c>
      <c r="E51" s="222">
        <v>0</v>
      </c>
      <c r="F51" s="83">
        <f>+D51-E51</f>
        <v>245947886.13999999</v>
      </c>
      <c r="G51" s="213" t="s">
        <v>6</v>
      </c>
      <c r="H51" s="52"/>
      <c r="I51" s="85"/>
      <c r="J51" s="77"/>
      <c r="K51" s="83"/>
      <c r="L51" s="83"/>
      <c r="M51" s="83"/>
      <c r="N51" s="123"/>
      <c r="P51" s="11"/>
      <c r="R51" s="11"/>
      <c r="S51" s="11"/>
    </row>
    <row r="52" spans="1:26" s="2" customFormat="1" ht="24.75" customHeight="1" x14ac:dyDescent="0.2">
      <c r="A52" s="127">
        <v>1909</v>
      </c>
      <c r="B52" s="85" t="s">
        <v>124</v>
      </c>
      <c r="C52" s="77"/>
      <c r="D52" s="222">
        <v>1263704</v>
      </c>
      <c r="E52" s="222">
        <v>1263704</v>
      </c>
      <c r="F52" s="83">
        <f>+D52-E52</f>
        <v>0</v>
      </c>
      <c r="G52" s="137">
        <f>+F52/E52</f>
        <v>0</v>
      </c>
      <c r="H52" s="52"/>
      <c r="I52" s="85"/>
      <c r="J52" s="77"/>
      <c r="K52" s="83"/>
      <c r="L52" s="83"/>
      <c r="M52" s="83"/>
      <c r="N52" s="123"/>
      <c r="P52" s="33">
        <f>+D41/$D$32*100</f>
        <v>3.8702208618532472</v>
      </c>
      <c r="R52" s="11"/>
      <c r="S52" s="11"/>
    </row>
    <row r="53" spans="1:26" s="2" customFormat="1" ht="15.75" customHeight="1" x14ac:dyDescent="0.2">
      <c r="A53" s="127">
        <v>1970</v>
      </c>
      <c r="B53" s="85" t="s">
        <v>125</v>
      </c>
      <c r="C53" s="77"/>
      <c r="D53" s="222">
        <v>3028983845.6700001</v>
      </c>
      <c r="E53" s="222">
        <v>3163011364.6700001</v>
      </c>
      <c r="F53" s="83">
        <f>+D53-E53</f>
        <v>-134027519</v>
      </c>
      <c r="G53" s="137">
        <f t="shared" ref="G53:G54" si="23">+F53/E53</f>
        <v>-4.2373391539800305E-2</v>
      </c>
      <c r="H53" s="47"/>
      <c r="I53" s="47"/>
      <c r="J53" s="77"/>
      <c r="K53" s="83"/>
      <c r="L53" s="83"/>
      <c r="M53" s="83"/>
      <c r="N53" s="128"/>
      <c r="P53" s="11">
        <f>+D42/$D$32*100</f>
        <v>0.5820694959437257</v>
      </c>
      <c r="R53" s="11"/>
      <c r="S53" s="11"/>
      <c r="Y53" s="12"/>
    </row>
    <row r="54" spans="1:26" s="2" customFormat="1" ht="24.75" customHeight="1" x14ac:dyDescent="0.2">
      <c r="A54" s="120">
        <v>1975</v>
      </c>
      <c r="B54" s="85" t="s">
        <v>126</v>
      </c>
      <c r="C54" s="77"/>
      <c r="D54" s="222">
        <v>-1366253618.5699999</v>
      </c>
      <c r="E54" s="222">
        <v>-1204792763.4100001</v>
      </c>
      <c r="F54" s="83">
        <f>+D54-E54</f>
        <v>-161460855.15999985</v>
      </c>
      <c r="G54" s="137">
        <f t="shared" si="23"/>
        <v>0.13401545897653561</v>
      </c>
      <c r="H54" s="47"/>
      <c r="I54" s="47"/>
      <c r="J54" s="77"/>
      <c r="K54" s="83"/>
      <c r="L54" s="83"/>
      <c r="M54" s="83"/>
      <c r="N54" s="128"/>
      <c r="P54" s="11">
        <f>+D43/$D$32*100</f>
        <v>0.20232334978389724</v>
      </c>
      <c r="R54" s="11"/>
      <c r="S54" s="11"/>
      <c r="Y54" s="12"/>
      <c r="Z54" s="12"/>
    </row>
    <row r="55" spans="1:26" s="2" customFormat="1" ht="27" customHeight="1" thickBot="1" x14ac:dyDescent="0.25">
      <c r="A55" s="144"/>
      <c r="B55" s="145" t="s">
        <v>24</v>
      </c>
      <c r="C55" s="146"/>
      <c r="D55" s="147">
        <f>+D9+D28</f>
        <v>623444499455.88</v>
      </c>
      <c r="E55" s="147">
        <f>+E9+E28</f>
        <v>523215743951.85004</v>
      </c>
      <c r="F55" s="147">
        <f>+F9+F28</f>
        <v>100228755504.03003</v>
      </c>
      <c r="G55" s="148">
        <f>+F55/E55</f>
        <v>0.19156295784794614</v>
      </c>
      <c r="H55" s="149"/>
      <c r="I55" s="145" t="s">
        <v>25</v>
      </c>
      <c r="J55" s="146"/>
      <c r="K55" s="147">
        <f>+K40+K44</f>
        <v>623444499455.87988</v>
      </c>
      <c r="L55" s="147">
        <f>+L40+L44</f>
        <v>523215743951.84998</v>
      </c>
      <c r="M55" s="147">
        <f>+M40+M44</f>
        <v>100228755504.02998</v>
      </c>
      <c r="N55" s="150">
        <f>+M55/L55</f>
        <v>0.19156295784794608</v>
      </c>
      <c r="R55" s="11"/>
      <c r="S55" s="11"/>
      <c r="Y55" s="12">
        <f>+D55-K55</f>
        <v>0</v>
      </c>
      <c r="Z55" s="12">
        <f>+E55-L55</f>
        <v>0</v>
      </c>
    </row>
    <row r="56" spans="1:26" s="2" customFormat="1" ht="27" customHeight="1" x14ac:dyDescent="0.2">
      <c r="A56" s="155">
        <v>8</v>
      </c>
      <c r="B56" s="152" t="s">
        <v>26</v>
      </c>
      <c r="C56" s="153"/>
      <c r="D56" s="154">
        <f>+D57+D64+D60</f>
        <v>0</v>
      </c>
      <c r="E56" s="154">
        <f>+E57+E64+E60</f>
        <v>0</v>
      </c>
      <c r="F56" s="154">
        <f>+F57+F64+F60</f>
        <v>-2.9802322387695313E-8</v>
      </c>
      <c r="G56" s="190">
        <v>0</v>
      </c>
      <c r="H56" s="191">
        <v>9</v>
      </c>
      <c r="I56" s="178" t="s">
        <v>27</v>
      </c>
      <c r="J56" s="153"/>
      <c r="K56" s="154">
        <f>+K57+K61+K64</f>
        <v>0</v>
      </c>
      <c r="L56" s="154">
        <f>+L57+L61+L64</f>
        <v>0</v>
      </c>
      <c r="M56" s="154">
        <f>+M57+M61+M64</f>
        <v>0</v>
      </c>
      <c r="N56" s="156">
        <v>0</v>
      </c>
      <c r="Q56" s="11" t="e">
        <f>+#REF!/D55*100</f>
        <v>#REF!</v>
      </c>
      <c r="R56" s="11"/>
      <c r="S56" s="11"/>
    </row>
    <row r="57" spans="1:26" s="2" customFormat="1" ht="20.25" customHeight="1" x14ac:dyDescent="0.2">
      <c r="A57" s="125">
        <v>81</v>
      </c>
      <c r="B57" s="46" t="s">
        <v>141</v>
      </c>
      <c r="C57" s="49"/>
      <c r="D57" s="84">
        <f>SUM(D58:D59)</f>
        <v>431115490.60000002</v>
      </c>
      <c r="E57" s="84">
        <f t="shared" ref="E57:F57" si="24">SUM(E58:E59)</f>
        <v>622396705.27999997</v>
      </c>
      <c r="F57" s="84">
        <f t="shared" si="24"/>
        <v>-191281214.67999998</v>
      </c>
      <c r="G57" s="189">
        <f>+F57/E57</f>
        <v>-0.30733005662995527</v>
      </c>
      <c r="H57" s="192">
        <v>91</v>
      </c>
      <c r="I57" s="50" t="s">
        <v>145</v>
      </c>
      <c r="J57" s="49"/>
      <c r="K57" s="84">
        <f>SUM(K58:K60)</f>
        <v>6450320797.6000004</v>
      </c>
      <c r="L57" s="84">
        <f>SUM(L58:L60)</f>
        <v>4532675674.3500004</v>
      </c>
      <c r="M57" s="84">
        <f>SUM(M58:M60)</f>
        <v>1917645123.25</v>
      </c>
      <c r="N57" s="122">
        <f>+M57/L57</f>
        <v>0.42307132939199232</v>
      </c>
      <c r="R57" s="11"/>
      <c r="S57" s="11"/>
    </row>
    <row r="58" spans="1:26" s="2" customFormat="1" ht="21.75" customHeight="1" x14ac:dyDescent="0.2">
      <c r="A58" s="124">
        <v>8120</v>
      </c>
      <c r="B58" s="85" t="s">
        <v>142</v>
      </c>
      <c r="C58" s="77"/>
      <c r="D58" s="222">
        <v>13584767.6</v>
      </c>
      <c r="E58" s="222">
        <v>13544742</v>
      </c>
      <c r="F58" s="83">
        <f>+D58-E58</f>
        <v>40025.599999999627</v>
      </c>
      <c r="G58" s="184">
        <f>+F58/E58</f>
        <v>2.9550655154597723E-3</v>
      </c>
      <c r="H58" s="187">
        <v>9120</v>
      </c>
      <c r="I58" s="85" t="s">
        <v>142</v>
      </c>
      <c r="J58" s="77"/>
      <c r="K58" s="222">
        <v>1148808091</v>
      </c>
      <c r="L58" s="222">
        <v>233479252</v>
      </c>
      <c r="M58" s="83">
        <f>+K58-L58</f>
        <v>915328839</v>
      </c>
      <c r="N58" s="123">
        <f t="shared" ref="N58:N62" si="25">+M58/L58</f>
        <v>3.9203862063083874</v>
      </c>
      <c r="O58" s="12"/>
      <c r="Q58" s="12"/>
      <c r="R58" s="11"/>
      <c r="S58" s="11"/>
    </row>
    <row r="59" spans="1:26" s="2" customFormat="1" ht="24" customHeight="1" x14ac:dyDescent="0.2">
      <c r="A59" s="124">
        <v>8190</v>
      </c>
      <c r="B59" s="85" t="s">
        <v>143</v>
      </c>
      <c r="C59" s="77"/>
      <c r="D59" s="222">
        <v>417530723</v>
      </c>
      <c r="E59" s="222">
        <v>608851963.27999997</v>
      </c>
      <c r="F59" s="83">
        <f>+D59-E59</f>
        <v>-191321240.27999997</v>
      </c>
      <c r="G59" s="184">
        <f>+F59/E59</f>
        <v>-0.31423277219854312</v>
      </c>
      <c r="H59" s="187">
        <v>9128</v>
      </c>
      <c r="I59" s="85" t="s">
        <v>146</v>
      </c>
      <c r="J59" s="77"/>
      <c r="K59" s="222">
        <v>966121051.60000002</v>
      </c>
      <c r="L59" s="222">
        <v>320950061.35000002</v>
      </c>
      <c r="M59" s="83">
        <f>+K59-L59</f>
        <v>645170990.25</v>
      </c>
      <c r="N59" s="123">
        <f t="shared" si="25"/>
        <v>2.010191204003021</v>
      </c>
      <c r="P59" s="12">
        <f>+D55-K55</f>
        <v>0</v>
      </c>
    </row>
    <row r="60" spans="1:26" s="2" customFormat="1" ht="22.5" x14ac:dyDescent="0.2">
      <c r="A60" s="125"/>
      <c r="B60" s="99"/>
      <c r="C60" s="77"/>
      <c r="D60" s="87"/>
      <c r="E60" s="87"/>
      <c r="F60" s="87"/>
      <c r="G60" s="159"/>
      <c r="H60" s="187">
        <v>9190</v>
      </c>
      <c r="I60" s="85" t="s">
        <v>201</v>
      </c>
      <c r="J60" s="77"/>
      <c r="K60" s="222">
        <v>4335391655</v>
      </c>
      <c r="L60" s="222">
        <v>3978246361</v>
      </c>
      <c r="M60" s="83">
        <f>+K60-L60</f>
        <v>357145294</v>
      </c>
      <c r="N60" s="123">
        <f t="shared" si="25"/>
        <v>8.9774554311469398E-2</v>
      </c>
    </row>
    <row r="61" spans="1:26" s="2" customFormat="1" ht="20.25" customHeight="1" x14ac:dyDescent="0.2">
      <c r="A61" s="125"/>
      <c r="B61" s="99"/>
      <c r="C61" s="77"/>
      <c r="D61" s="87"/>
      <c r="E61" s="87"/>
      <c r="F61" s="87"/>
      <c r="G61" s="159"/>
      <c r="H61" s="192">
        <v>93</v>
      </c>
      <c r="I61" s="50" t="s">
        <v>212</v>
      </c>
      <c r="J61" s="49"/>
      <c r="K61" s="84">
        <f>SUM(K62:K63)</f>
        <v>18431617000</v>
      </c>
      <c r="L61" s="84">
        <f>SUM(L62:L63)</f>
        <v>289211704.18000001</v>
      </c>
      <c r="M61" s="84">
        <f>SUM(M62:M63)</f>
        <v>18142405295.82</v>
      </c>
      <c r="N61" s="122">
        <f>+M61/L61</f>
        <v>62.730536259792942</v>
      </c>
    </row>
    <row r="62" spans="1:26" s="2" customFormat="1" ht="21" customHeight="1" x14ac:dyDescent="0.2">
      <c r="A62" s="125"/>
      <c r="B62" s="99"/>
      <c r="C62" s="77"/>
      <c r="D62" s="87"/>
      <c r="E62" s="87"/>
      <c r="F62" s="87"/>
      <c r="G62" s="159"/>
      <c r="H62" s="187">
        <v>9308</v>
      </c>
      <c r="I62" s="85" t="s">
        <v>213</v>
      </c>
      <c r="J62" s="77"/>
      <c r="K62" s="83">
        <v>0</v>
      </c>
      <c r="L62" s="222">
        <v>289211704.18000001</v>
      </c>
      <c r="M62" s="83">
        <f>+K62-L62</f>
        <v>-289211704.18000001</v>
      </c>
      <c r="N62" s="123">
        <f t="shared" si="25"/>
        <v>-1</v>
      </c>
    </row>
    <row r="63" spans="1:26" s="2" customFormat="1" ht="21" customHeight="1" x14ac:dyDescent="0.2">
      <c r="A63" s="125"/>
      <c r="B63" s="99"/>
      <c r="C63" s="77"/>
      <c r="D63" s="87"/>
      <c r="E63" s="87"/>
      <c r="F63" s="87"/>
      <c r="G63" s="159"/>
      <c r="H63" s="187">
        <v>9390</v>
      </c>
      <c r="I63" s="85" t="s">
        <v>232</v>
      </c>
      <c r="J63" s="77"/>
      <c r="K63" s="222">
        <v>18431617000</v>
      </c>
      <c r="L63" s="222">
        <v>0</v>
      </c>
      <c r="M63" s="83">
        <f>+K63-L63</f>
        <v>18431617000</v>
      </c>
      <c r="N63" s="126" t="s">
        <v>6</v>
      </c>
    </row>
    <row r="64" spans="1:26" s="2" customFormat="1" ht="33" customHeight="1" x14ac:dyDescent="0.2">
      <c r="A64" s="125">
        <v>89</v>
      </c>
      <c r="B64" s="50" t="s">
        <v>199</v>
      </c>
      <c r="C64" s="49"/>
      <c r="D64" s="84">
        <f>SUM(D65:D66)</f>
        <v>-431115490.60000002</v>
      </c>
      <c r="E64" s="84">
        <f>SUM(E65:E66)</f>
        <v>-622396705.27999997</v>
      </c>
      <c r="F64" s="84">
        <f>SUM(F65:F66)</f>
        <v>191281214.67999995</v>
      </c>
      <c r="G64" s="186">
        <f>+F64/E64</f>
        <v>-0.30733005662995522</v>
      </c>
      <c r="H64" s="188">
        <v>99</v>
      </c>
      <c r="I64" s="99" t="s">
        <v>198</v>
      </c>
      <c r="J64" s="49"/>
      <c r="K64" s="87">
        <f>SUM(K65:K66)</f>
        <v>-24881937797.599998</v>
      </c>
      <c r="L64" s="87">
        <f>SUM(L65:L66)</f>
        <v>-4821887378.5300007</v>
      </c>
      <c r="M64" s="87">
        <f>SUM(M65:M66)</f>
        <v>-20060050419.07</v>
      </c>
      <c r="N64" s="193">
        <f>+M64/L64</f>
        <v>4.1602071646031478</v>
      </c>
    </row>
    <row r="65" spans="1:22" s="2" customFormat="1" ht="22.5" x14ac:dyDescent="0.2">
      <c r="A65" s="124">
        <v>8905</v>
      </c>
      <c r="B65" s="85" t="s">
        <v>144</v>
      </c>
      <c r="C65" s="49"/>
      <c r="D65" s="222">
        <v>-431115490.60000002</v>
      </c>
      <c r="E65" s="222">
        <v>-622396705.27999997</v>
      </c>
      <c r="F65" s="83">
        <f>+D65-E65</f>
        <v>191281214.67999995</v>
      </c>
      <c r="G65" s="194">
        <f>+F65/E65</f>
        <v>-0.30733005662995522</v>
      </c>
      <c r="H65" s="55">
        <v>9905</v>
      </c>
      <c r="I65" s="85" t="s">
        <v>203</v>
      </c>
      <c r="J65" s="49"/>
      <c r="K65" s="222">
        <v>-6450320797.6000004</v>
      </c>
      <c r="L65" s="222">
        <v>-4532675674.3500004</v>
      </c>
      <c r="M65" s="83">
        <f>+K65-L65</f>
        <v>-1917645123.25</v>
      </c>
      <c r="N65" s="126">
        <f t="shared" ref="N65:N66" si="26">+M65/L65</f>
        <v>0.42307132939199232</v>
      </c>
      <c r="V65" s="90"/>
    </row>
    <row r="66" spans="1:22" s="2" customFormat="1" ht="22.5" x14ac:dyDescent="0.2">
      <c r="A66" s="124"/>
      <c r="B66" s="85"/>
      <c r="C66" s="77"/>
      <c r="D66" s="88"/>
      <c r="E66" s="88"/>
      <c r="F66" s="83"/>
      <c r="G66" s="195"/>
      <c r="H66" s="55">
        <v>9915</v>
      </c>
      <c r="I66" s="85" t="s">
        <v>206</v>
      </c>
      <c r="J66" s="77"/>
      <c r="K66" s="222">
        <v>-18431617000</v>
      </c>
      <c r="L66" s="222">
        <v>-289211704.18000001</v>
      </c>
      <c r="M66" s="83">
        <f>+K66-L66</f>
        <v>-18142405295.82</v>
      </c>
      <c r="N66" s="126">
        <f t="shared" si="26"/>
        <v>62.730536259792942</v>
      </c>
      <c r="U66" s="90"/>
      <c r="V66" s="90"/>
    </row>
    <row r="67" spans="1:22" hidden="1" x14ac:dyDescent="0.2">
      <c r="A67" s="124"/>
      <c r="B67" s="85"/>
      <c r="C67" s="77"/>
      <c r="D67" s="88"/>
      <c r="E67" s="88"/>
      <c r="F67" s="83"/>
      <c r="G67" s="185"/>
      <c r="H67" s="55"/>
      <c r="I67" s="85"/>
      <c r="J67" s="77"/>
      <c r="K67" s="88"/>
      <c r="L67" s="88"/>
      <c r="M67" s="83"/>
      <c r="N67" s="126"/>
      <c r="O67" s="2"/>
      <c r="P67" s="2"/>
      <c r="Q67" s="2"/>
      <c r="R67" s="2"/>
      <c r="S67" s="2"/>
      <c r="T67" s="2"/>
    </row>
    <row r="68" spans="1:22" ht="42.75" hidden="1" customHeight="1" x14ac:dyDescent="0.2">
      <c r="A68" s="251" t="s">
        <v>240</v>
      </c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3"/>
      <c r="O68" s="2"/>
      <c r="P68" s="2"/>
      <c r="Q68" s="2"/>
      <c r="R68" s="2"/>
      <c r="S68" s="2"/>
      <c r="T68" s="2"/>
    </row>
    <row r="69" spans="1:22" ht="24" hidden="1" customHeight="1" x14ac:dyDescent="0.2">
      <c r="A69" s="113"/>
      <c r="B69" s="6"/>
      <c r="C69" s="79"/>
      <c r="D69" s="25"/>
      <c r="E69" s="5"/>
      <c r="F69" s="5"/>
      <c r="G69" s="5"/>
      <c r="H69" s="6"/>
      <c r="I69" s="25"/>
      <c r="J69" s="81"/>
      <c r="K69" s="25"/>
      <c r="L69" s="5"/>
      <c r="M69" s="5"/>
      <c r="N69" s="129"/>
    </row>
    <row r="70" spans="1:22" ht="28.5" hidden="1" customHeight="1" x14ac:dyDescent="0.2">
      <c r="A70" s="113"/>
      <c r="B70" s="6"/>
      <c r="C70" s="79"/>
      <c r="D70" s="25"/>
      <c r="E70" s="5"/>
      <c r="F70" s="5"/>
      <c r="G70" s="5"/>
      <c r="H70" s="6"/>
      <c r="I70" s="6"/>
      <c r="J70" s="79"/>
      <c r="K70" s="25"/>
      <c r="L70" s="5"/>
      <c r="M70" s="5"/>
      <c r="N70" s="129"/>
    </row>
    <row r="71" spans="1:22" hidden="1" x14ac:dyDescent="0.2">
      <c r="A71" s="256" t="s">
        <v>224</v>
      </c>
      <c r="B71" s="257"/>
      <c r="C71" s="257"/>
      <c r="D71" s="257"/>
      <c r="E71" s="207" t="s">
        <v>100</v>
      </c>
      <c r="F71" s="21"/>
      <c r="G71" s="21"/>
      <c r="H71" s="7"/>
      <c r="I71" s="7"/>
      <c r="J71" s="73"/>
      <c r="K71" s="91" t="s">
        <v>207</v>
      </c>
      <c r="L71" s="21"/>
      <c r="M71" s="5"/>
      <c r="N71" s="129"/>
    </row>
    <row r="72" spans="1:22" hidden="1" x14ac:dyDescent="0.2">
      <c r="A72" s="258" t="s">
        <v>225</v>
      </c>
      <c r="B72" s="254"/>
      <c r="C72" s="254"/>
      <c r="D72" s="254"/>
      <c r="E72" s="254" t="s">
        <v>101</v>
      </c>
      <c r="F72" s="254"/>
      <c r="G72" s="254"/>
      <c r="H72" s="254"/>
      <c r="I72" s="204"/>
      <c r="J72" s="204"/>
      <c r="K72" s="91" t="s">
        <v>29</v>
      </c>
      <c r="L72" s="100"/>
      <c r="M72" s="101"/>
      <c r="N72" s="130"/>
    </row>
    <row r="73" spans="1:22" hidden="1" x14ac:dyDescent="0.2">
      <c r="A73" s="259" t="s">
        <v>226</v>
      </c>
      <c r="B73" s="260"/>
      <c r="C73" s="260"/>
      <c r="D73" s="260"/>
      <c r="E73" s="255" t="s">
        <v>147</v>
      </c>
      <c r="F73" s="255"/>
      <c r="G73" s="255"/>
      <c r="H73" s="255"/>
      <c r="I73" s="7"/>
      <c r="J73" s="202"/>
      <c r="K73" s="203" t="s">
        <v>148</v>
      </c>
      <c r="L73" s="100"/>
      <c r="M73" s="101"/>
      <c r="N73" s="130"/>
    </row>
    <row r="74" spans="1:22" ht="13.5" hidden="1" thickBot="1" x14ac:dyDescent="0.25">
      <c r="A74" s="249"/>
      <c r="B74" s="250"/>
      <c r="C74" s="201"/>
      <c r="D74" s="131"/>
      <c r="E74" s="201"/>
      <c r="F74" s="201"/>
      <c r="G74" s="201"/>
      <c r="H74" s="201"/>
      <c r="I74" s="201"/>
      <c r="J74" s="201"/>
      <c r="K74" s="176" t="s">
        <v>149</v>
      </c>
      <c r="L74" s="132"/>
      <c r="M74" s="133"/>
      <c r="N74" s="134"/>
    </row>
    <row r="75" spans="1:22" hidden="1" x14ac:dyDescent="0.2"/>
    <row r="76" spans="1:22" hidden="1" x14ac:dyDescent="0.2"/>
    <row r="77" spans="1:22" hidden="1" x14ac:dyDescent="0.2"/>
    <row r="78" spans="1:22" ht="13.5" hidden="1" thickBot="1" x14ac:dyDescent="0.25">
      <c r="A78" s="90">
        <v>1</v>
      </c>
      <c r="B78" s="28" t="s">
        <v>30</v>
      </c>
      <c r="C78" s="28"/>
      <c r="D78" s="22">
        <v>2022</v>
      </c>
      <c r="E78" s="22">
        <v>2021</v>
      </c>
      <c r="K78" s="41" t="s">
        <v>210</v>
      </c>
    </row>
    <row r="79" spans="1:22" hidden="1" x14ac:dyDescent="0.2"/>
    <row r="80" spans="1:22" hidden="1" x14ac:dyDescent="0.2">
      <c r="A80" s="90">
        <v>1.1000000000000001</v>
      </c>
      <c r="B80" s="3" t="s">
        <v>31</v>
      </c>
      <c r="C80" s="8"/>
      <c r="D80" s="14">
        <f>+D9-K9</f>
        <v>253151034706.45004</v>
      </c>
      <c r="E80" s="14">
        <f>+E9-L9</f>
        <v>213155670018.87</v>
      </c>
      <c r="F80" s="20" t="s">
        <v>32</v>
      </c>
      <c r="I80" s="14">
        <f>+D80-E80</f>
        <v>39995364687.580048</v>
      </c>
      <c r="J80" s="82"/>
      <c r="K80" s="122">
        <f>+I80/E80</f>
        <v>0.18763453340950012</v>
      </c>
    </row>
    <row r="81" spans="1:14" hidden="1" x14ac:dyDescent="0.2">
      <c r="A81" s="90">
        <v>1.2</v>
      </c>
      <c r="B81" s="3" t="s">
        <v>33</v>
      </c>
      <c r="C81" s="8"/>
      <c r="D81" s="14">
        <f>+D9/K9</f>
        <v>7.8986481643822755</v>
      </c>
      <c r="E81" s="14">
        <f>+E9/L9</f>
        <v>12.257187978654621</v>
      </c>
      <c r="F81" s="20" t="s">
        <v>34</v>
      </c>
      <c r="I81" s="14">
        <f>+D81-E81</f>
        <v>-4.358539814272345</v>
      </c>
      <c r="J81" s="82"/>
      <c r="K81" s="122">
        <f>+I81/E81</f>
        <v>-0.35559051732441077</v>
      </c>
    </row>
    <row r="82" spans="1:14" hidden="1" x14ac:dyDescent="0.2"/>
    <row r="83" spans="1:14" hidden="1" x14ac:dyDescent="0.2">
      <c r="A83" s="90">
        <v>2</v>
      </c>
      <c r="B83" s="3" t="s">
        <v>35</v>
      </c>
      <c r="C83" s="8"/>
      <c r="D83" s="14">
        <f>+K40/D55*100</f>
        <v>5.989315122946639</v>
      </c>
      <c r="E83" s="14">
        <f>+L40/E55*100</f>
        <v>3.7165483409267437</v>
      </c>
      <c r="F83" s="20" t="s">
        <v>36</v>
      </c>
      <c r="I83" s="14">
        <f>+D83-E83</f>
        <v>2.2727667820198953</v>
      </c>
      <c r="J83" s="82"/>
      <c r="K83" s="122">
        <f>+I83/E83</f>
        <v>0.61152622636227227</v>
      </c>
    </row>
    <row r="84" spans="1:14" hidden="1" x14ac:dyDescent="0.2"/>
    <row r="85" spans="1:14" hidden="1" x14ac:dyDescent="0.2">
      <c r="B85" s="28"/>
      <c r="C85" s="28"/>
      <c r="D85" s="20" t="e">
        <f>+D9-#REF!</f>
        <v>#REF!</v>
      </c>
      <c r="E85" s="20"/>
      <c r="F85" s="21"/>
      <c r="G85" s="10"/>
      <c r="H85" s="29"/>
      <c r="I85" s="89"/>
      <c r="K85" s="9"/>
      <c r="L85" s="247"/>
      <c r="M85" s="247"/>
      <c r="N85" s="247"/>
    </row>
    <row r="86" spans="1:14" hidden="1" x14ac:dyDescent="0.2">
      <c r="D86" s="14" t="e">
        <f>+D85/K9</f>
        <v>#REF!</v>
      </c>
    </row>
    <row r="87" spans="1:14" hidden="1" x14ac:dyDescent="0.2"/>
    <row r="88" spans="1:14" hidden="1" x14ac:dyDescent="0.2">
      <c r="I88" s="14"/>
      <c r="J88" s="82"/>
    </row>
  </sheetData>
  <mergeCells count="23">
    <mergeCell ref="L85:N85"/>
    <mergeCell ref="P6:Q6"/>
    <mergeCell ref="R6:S6"/>
    <mergeCell ref="A74:B74"/>
    <mergeCell ref="A68:N68"/>
    <mergeCell ref="E72:H72"/>
    <mergeCell ref="E73:H73"/>
    <mergeCell ref="A71:D71"/>
    <mergeCell ref="A72:D72"/>
    <mergeCell ref="A73:D73"/>
    <mergeCell ref="A1:N1"/>
    <mergeCell ref="A4:N4"/>
    <mergeCell ref="A5:N5"/>
    <mergeCell ref="A6:A7"/>
    <mergeCell ref="B6:B7"/>
    <mergeCell ref="G6:G7"/>
    <mergeCell ref="H6:H7"/>
    <mergeCell ref="I6:I7"/>
    <mergeCell ref="N6:N7"/>
    <mergeCell ref="A3:N3"/>
    <mergeCell ref="A2:N2"/>
    <mergeCell ref="C6:C7"/>
    <mergeCell ref="J6:J7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3"/>
  <sheetViews>
    <sheetView topLeftCell="A77" zoomScale="95" zoomScaleNormal="95" workbookViewId="0">
      <selection activeCell="A79" sqref="A79:XFD173"/>
    </sheetView>
  </sheetViews>
  <sheetFormatPr baseColWidth="10" defaultColWidth="11.42578125" defaultRowHeight="12.75" x14ac:dyDescent="0.2"/>
  <cols>
    <col min="1" max="1" width="8.7109375" style="8" bestFit="1" customWidth="1"/>
    <col min="2" max="2" width="45.42578125" style="3" customWidth="1"/>
    <col min="3" max="3" width="7.7109375" style="8" customWidth="1"/>
    <col min="4" max="4" width="31.7109375" style="20" customWidth="1"/>
    <col min="5" max="5" width="31.5703125" style="3" customWidth="1"/>
    <col min="6" max="6" width="14.42578125" style="9" hidden="1" customWidth="1"/>
    <col min="7" max="7" width="8.28515625" style="8" bestFit="1" customWidth="1"/>
    <col min="8" max="8" width="25.140625" style="27" hidden="1" customWidth="1"/>
    <col min="9" max="9" width="16.42578125" style="3" hidden="1" customWidth="1"/>
    <col min="10" max="10" width="17.85546875" style="3" hidden="1" customWidth="1"/>
    <col min="11" max="11" width="16.140625" style="3" hidden="1" customWidth="1"/>
    <col min="12" max="12" width="13.85546875" style="3" hidden="1" customWidth="1"/>
    <col min="13" max="14" width="13.7109375" style="3" hidden="1" customWidth="1"/>
    <col min="15" max="15" width="11.42578125" style="3" hidden="1" customWidth="1"/>
    <col min="16" max="16" width="16.7109375" style="3" hidden="1" customWidth="1"/>
    <col min="17" max="18" width="11.42578125" style="3" hidden="1" customWidth="1"/>
    <col min="19" max="19" width="0" style="3" hidden="1" customWidth="1"/>
    <col min="20" max="20" width="7" style="3" hidden="1" customWidth="1"/>
    <col min="21" max="22" width="14.42578125" style="3" bestFit="1" customWidth="1"/>
    <col min="23" max="16384" width="11.42578125" style="3"/>
  </cols>
  <sheetData>
    <row r="1" spans="1:16" ht="15.75" customHeight="1" x14ac:dyDescent="0.25">
      <c r="A1" s="233" t="s">
        <v>209</v>
      </c>
      <c r="B1" s="234"/>
      <c r="C1" s="234"/>
      <c r="D1" s="234"/>
      <c r="E1" s="234"/>
      <c r="F1" s="234"/>
      <c r="G1" s="235"/>
      <c r="H1" s="162"/>
      <c r="I1" s="162"/>
      <c r="J1" s="162"/>
      <c r="K1" s="162"/>
      <c r="L1" s="163"/>
    </row>
    <row r="2" spans="1:16" ht="15" customHeight="1" x14ac:dyDescent="0.25">
      <c r="A2" s="236" t="s">
        <v>202</v>
      </c>
      <c r="B2" s="237"/>
      <c r="C2" s="237"/>
      <c r="D2" s="237"/>
      <c r="E2" s="237"/>
      <c r="F2" s="237"/>
      <c r="G2" s="238"/>
      <c r="H2" s="236"/>
      <c r="I2" s="237"/>
      <c r="J2" s="237"/>
      <c r="K2" s="237"/>
      <c r="L2" s="237"/>
      <c r="M2" s="237"/>
      <c r="N2" s="238"/>
    </row>
    <row r="3" spans="1:16" ht="16.5" customHeight="1" x14ac:dyDescent="0.3">
      <c r="A3" s="236" t="s">
        <v>189</v>
      </c>
      <c r="B3" s="237"/>
      <c r="C3" s="237"/>
      <c r="D3" s="237"/>
      <c r="E3" s="237"/>
      <c r="F3" s="237"/>
      <c r="G3" s="238"/>
      <c r="H3" s="42"/>
      <c r="I3" s="42"/>
      <c r="J3" s="42"/>
      <c r="K3" s="42"/>
      <c r="L3" s="43"/>
    </row>
    <row r="4" spans="1:16" ht="15.75" customHeight="1" x14ac:dyDescent="0.25">
      <c r="A4" s="236" t="s">
        <v>241</v>
      </c>
      <c r="B4" s="237"/>
      <c r="C4" s="237"/>
      <c r="D4" s="237"/>
      <c r="E4" s="237"/>
      <c r="F4" s="237"/>
      <c r="G4" s="238"/>
      <c r="H4" s="39"/>
      <c r="I4" s="39"/>
      <c r="J4" s="39"/>
      <c r="K4" s="39"/>
      <c r="L4" s="40"/>
    </row>
    <row r="5" spans="1:16" ht="15" customHeight="1" x14ac:dyDescent="0.25">
      <c r="A5" s="270" t="s">
        <v>102</v>
      </c>
      <c r="B5" s="271"/>
      <c r="C5" s="271"/>
      <c r="D5" s="271"/>
      <c r="E5" s="271"/>
      <c r="F5" s="271"/>
      <c r="G5" s="272"/>
      <c r="H5" s="20"/>
    </row>
    <row r="6" spans="1:16" ht="0.75" customHeight="1" x14ac:dyDescent="0.2">
      <c r="A6" s="106"/>
      <c r="B6" s="96"/>
      <c r="C6" s="73"/>
      <c r="D6" s="164"/>
      <c r="E6" s="101"/>
      <c r="F6" s="101"/>
      <c r="G6" s="130"/>
      <c r="H6" s="266" t="s">
        <v>37</v>
      </c>
      <c r="I6" s="267"/>
      <c r="J6" s="267"/>
      <c r="K6" s="267"/>
    </row>
    <row r="7" spans="1:16" x14ac:dyDescent="0.2">
      <c r="A7" s="261" t="s">
        <v>0</v>
      </c>
      <c r="B7" s="262" t="s">
        <v>38</v>
      </c>
      <c r="C7" s="262"/>
      <c r="D7" s="182">
        <v>2025</v>
      </c>
      <c r="E7" s="182">
        <v>2024</v>
      </c>
      <c r="F7" s="38" t="s">
        <v>2</v>
      </c>
      <c r="G7" s="268" t="s">
        <v>186</v>
      </c>
      <c r="H7" s="66" t="s">
        <v>39</v>
      </c>
      <c r="I7" s="67" t="s">
        <v>40</v>
      </c>
      <c r="J7" s="67" t="s">
        <v>41</v>
      </c>
      <c r="K7" s="67" t="s">
        <v>42</v>
      </c>
      <c r="L7" s="30" t="s">
        <v>43</v>
      </c>
      <c r="M7" s="31" t="s">
        <v>44</v>
      </c>
    </row>
    <row r="8" spans="1:16" x14ac:dyDescent="0.2">
      <c r="A8" s="261"/>
      <c r="B8" s="262"/>
      <c r="C8" s="262"/>
      <c r="D8" s="183" t="s">
        <v>220</v>
      </c>
      <c r="E8" s="183" t="s">
        <v>220</v>
      </c>
      <c r="F8" s="38" t="s">
        <v>5</v>
      </c>
      <c r="G8" s="269"/>
      <c r="H8" s="20"/>
    </row>
    <row r="9" spans="1:16" ht="0.75" customHeight="1" x14ac:dyDescent="0.2">
      <c r="A9" s="106"/>
      <c r="B9" s="61"/>
      <c r="C9" s="164"/>
      <c r="D9" s="95"/>
      <c r="E9" s="59"/>
      <c r="F9" s="35"/>
      <c r="G9" s="107"/>
      <c r="H9" s="20"/>
    </row>
    <row r="10" spans="1:16" ht="15.75" x14ac:dyDescent="0.25">
      <c r="A10" s="106"/>
      <c r="B10" s="215" t="s">
        <v>45</v>
      </c>
      <c r="C10" s="157"/>
      <c r="D10" s="142">
        <f>+D14+D18+D24+D28+D20</f>
        <v>138984488249.37</v>
      </c>
      <c r="E10" s="142">
        <f>+E14+E18+E24+E28+E20</f>
        <v>118834608452.32001</v>
      </c>
      <c r="F10" s="142">
        <f>+F14+F18+F24+F28+F20</f>
        <v>20149879797.050003</v>
      </c>
      <c r="G10" s="143">
        <f>+F10/E10</f>
        <v>0.16956238640812063</v>
      </c>
      <c r="H10" s="94">
        <v>21801490870</v>
      </c>
      <c r="I10" s="9">
        <v>16171306615</v>
      </c>
      <c r="J10" s="20">
        <v>19159708634.290001</v>
      </c>
      <c r="K10" s="9">
        <f>+D10-H10-I10-J10</f>
        <v>81851982130.079987</v>
      </c>
      <c r="L10" s="9">
        <f>+H10+I10+J10+K10</f>
        <v>138984488249.37</v>
      </c>
      <c r="M10" s="36">
        <f>+D10/D10*100</f>
        <v>100</v>
      </c>
      <c r="P10" s="9">
        <f>+L10-D10</f>
        <v>0</v>
      </c>
    </row>
    <row r="11" spans="1:16" ht="1.5" customHeight="1" x14ac:dyDescent="0.25">
      <c r="A11" s="106"/>
      <c r="B11" s="56"/>
      <c r="C11" s="39"/>
      <c r="D11" s="13"/>
      <c r="E11" s="57"/>
      <c r="F11" s="35"/>
      <c r="G11" s="109"/>
      <c r="H11" s="20"/>
      <c r="J11" s="20"/>
      <c r="K11" s="9">
        <f t="shared" ref="K11:K39" si="0">+D11-H11-I11-J11</f>
        <v>0</v>
      </c>
      <c r="L11" s="9"/>
      <c r="P11" s="9">
        <f t="shared" ref="P11:P39" si="1">+L11-D11</f>
        <v>0</v>
      </c>
    </row>
    <row r="12" spans="1:16" ht="15" x14ac:dyDescent="0.2">
      <c r="A12" s="106"/>
      <c r="B12" s="206" t="s">
        <v>152</v>
      </c>
      <c r="C12" s="157"/>
      <c r="D12" s="206"/>
      <c r="E12" s="7"/>
      <c r="F12" s="35"/>
      <c r="G12" s="110"/>
      <c r="H12" s="94">
        <v>3524350</v>
      </c>
      <c r="I12" s="9">
        <v>7723100</v>
      </c>
      <c r="J12" s="20">
        <v>2667700</v>
      </c>
      <c r="K12" s="9">
        <f t="shared" ref="K12:K26" si="2">+D14-H12-I12-J12</f>
        <v>2218683900</v>
      </c>
      <c r="L12" s="9">
        <f t="shared" ref="L12:L52" si="3">+H12+I12+J12+K12</f>
        <v>2232599050</v>
      </c>
      <c r="M12" s="34">
        <f>+$D$14/$D$10*100</f>
        <v>1.6063656298062601</v>
      </c>
      <c r="P12" s="9">
        <f t="shared" ref="P12:P26" si="4">+L12-D14</f>
        <v>0</v>
      </c>
    </row>
    <row r="13" spans="1:16" ht="0.75" customHeight="1" x14ac:dyDescent="0.2">
      <c r="A13" s="106"/>
      <c r="B13" s="7"/>
      <c r="C13" s="73"/>
      <c r="D13" s="21"/>
      <c r="E13" s="7"/>
      <c r="F13" s="35"/>
      <c r="G13" s="110"/>
      <c r="H13" s="94">
        <v>0</v>
      </c>
      <c r="I13" s="9">
        <v>0</v>
      </c>
      <c r="J13" s="20">
        <v>0</v>
      </c>
      <c r="K13" s="9">
        <f>+D16-H13-I13-J13</f>
        <v>39891763</v>
      </c>
      <c r="L13" s="9">
        <f t="shared" si="3"/>
        <v>39891763</v>
      </c>
      <c r="P13" s="9">
        <f>+L13-D16</f>
        <v>0</v>
      </c>
    </row>
    <row r="14" spans="1:16" ht="17.25" customHeight="1" x14ac:dyDescent="0.2">
      <c r="A14" s="111">
        <v>41</v>
      </c>
      <c r="B14" s="4" t="s">
        <v>98</v>
      </c>
      <c r="C14" s="157"/>
      <c r="D14" s="57">
        <f>SUM(D15:D16)</f>
        <v>2232599050</v>
      </c>
      <c r="E14" s="57">
        <f>SUM(E15:E16)</f>
        <v>992568681</v>
      </c>
      <c r="F14" s="57">
        <f>SUM(F15:F16)</f>
        <v>1240030369</v>
      </c>
      <c r="G14" s="108">
        <f>+F14/E14</f>
        <v>1.2493144230086783</v>
      </c>
      <c r="H14" s="94">
        <v>5518300</v>
      </c>
      <c r="I14" s="9">
        <v>11831900</v>
      </c>
      <c r="J14" s="20">
        <v>4208100</v>
      </c>
      <c r="K14" s="9">
        <f>+D17-H14-I14-J14</f>
        <v>-21558300</v>
      </c>
      <c r="L14" s="9">
        <f t="shared" si="3"/>
        <v>0</v>
      </c>
      <c r="P14" s="9">
        <f>+L14-D17</f>
        <v>0</v>
      </c>
    </row>
    <row r="15" spans="1:16" ht="16.5" customHeight="1" x14ac:dyDescent="0.2">
      <c r="A15" s="106">
        <v>4105</v>
      </c>
      <c r="B15" s="64" t="s">
        <v>204</v>
      </c>
      <c r="C15" s="157"/>
      <c r="D15" s="223">
        <v>2192707287</v>
      </c>
      <c r="E15" s="223">
        <v>992568681</v>
      </c>
      <c r="F15" s="35">
        <f>+D15-E15</f>
        <v>1200138606</v>
      </c>
      <c r="G15" s="63">
        <f>+F15/E15</f>
        <v>1.2091239920958174</v>
      </c>
      <c r="H15" s="94"/>
      <c r="I15" s="9"/>
      <c r="J15" s="20"/>
      <c r="K15" s="9"/>
      <c r="L15" s="9"/>
      <c r="P15" s="9"/>
    </row>
    <row r="16" spans="1:16" ht="25.5" x14ac:dyDescent="0.2">
      <c r="A16" s="106" t="s">
        <v>153</v>
      </c>
      <c r="B16" s="179" t="s">
        <v>154</v>
      </c>
      <c r="C16" s="105"/>
      <c r="D16" s="223">
        <v>39891763</v>
      </c>
      <c r="E16" s="62">
        <v>0</v>
      </c>
      <c r="F16" s="35">
        <f>+D16-E16</f>
        <v>39891763</v>
      </c>
      <c r="G16" s="63" t="s">
        <v>6</v>
      </c>
      <c r="H16" s="94">
        <v>-1993950</v>
      </c>
      <c r="I16" s="9">
        <v>-4108800</v>
      </c>
      <c r="J16" s="20">
        <v>-1540400</v>
      </c>
      <c r="K16" s="9">
        <f t="shared" si="2"/>
        <v>20076206185</v>
      </c>
      <c r="L16" s="9">
        <f t="shared" si="3"/>
        <v>20068563035</v>
      </c>
      <c r="P16" s="9">
        <f t="shared" si="4"/>
        <v>0</v>
      </c>
    </row>
    <row r="17" spans="1:16" ht="3.75" hidden="1" customHeight="1" x14ac:dyDescent="0.25">
      <c r="A17" s="106"/>
      <c r="B17" s="56"/>
      <c r="C17" s="39"/>
      <c r="D17" s="13"/>
      <c r="E17" s="57"/>
      <c r="F17" s="35"/>
      <c r="G17" s="109"/>
      <c r="H17" s="20"/>
      <c r="I17" s="9"/>
      <c r="J17" s="20"/>
      <c r="K17" s="9">
        <f t="shared" si="2"/>
        <v>20068563035</v>
      </c>
      <c r="L17" s="9"/>
      <c r="P17" s="9">
        <f t="shared" si="4"/>
        <v>-20068563035</v>
      </c>
    </row>
    <row r="18" spans="1:16" ht="15.75" customHeight="1" x14ac:dyDescent="0.2">
      <c r="A18" s="111">
        <v>44</v>
      </c>
      <c r="B18" s="4" t="s">
        <v>155</v>
      </c>
      <c r="C18" s="157"/>
      <c r="D18" s="57">
        <f>+D19</f>
        <v>20068563035</v>
      </c>
      <c r="E18" s="57">
        <f>+E19</f>
        <v>11088911339</v>
      </c>
      <c r="F18" s="57">
        <f>+F19</f>
        <v>8979651696</v>
      </c>
      <c r="G18" s="108">
        <f>+F18/E18</f>
        <v>0.80978658963737249</v>
      </c>
      <c r="H18" s="94">
        <v>6452609021</v>
      </c>
      <c r="I18" s="9">
        <v>2303483948</v>
      </c>
      <c r="J18" s="20">
        <v>7506641724.2900009</v>
      </c>
      <c r="K18" s="9">
        <f>+D22-H18-I18-J18</f>
        <v>-16262734693.290001</v>
      </c>
      <c r="L18" s="9">
        <f t="shared" si="3"/>
        <v>0</v>
      </c>
      <c r="M18" s="34">
        <f>+$D$22/$D$10*100</f>
        <v>0</v>
      </c>
      <c r="P18" s="9">
        <f>+L18-D22</f>
        <v>0</v>
      </c>
    </row>
    <row r="19" spans="1:16" ht="18" customHeight="1" x14ac:dyDescent="0.2">
      <c r="A19" s="112" t="s">
        <v>156</v>
      </c>
      <c r="B19" s="6" t="s">
        <v>50</v>
      </c>
      <c r="C19" s="105"/>
      <c r="D19" s="223">
        <v>20068563035</v>
      </c>
      <c r="E19" s="223">
        <v>11088911339</v>
      </c>
      <c r="F19" s="35">
        <f>+D19-E19</f>
        <v>8979651696</v>
      </c>
      <c r="G19" s="63">
        <f>+F19/E19</f>
        <v>0.80978658963737249</v>
      </c>
      <c r="H19" s="94">
        <v>6446078735</v>
      </c>
      <c r="I19" s="9">
        <v>2291016743</v>
      </c>
      <c r="J19" s="20">
        <v>7497284163.2900009</v>
      </c>
      <c r="K19" s="9">
        <f>+D23-H19-I19-J19</f>
        <v>-16234379641.290001</v>
      </c>
      <c r="L19" s="9">
        <f t="shared" si="3"/>
        <v>0</v>
      </c>
      <c r="P19" s="9">
        <f>+L19-D23</f>
        <v>0</v>
      </c>
    </row>
    <row r="20" spans="1:16" ht="18" customHeight="1" x14ac:dyDescent="0.2">
      <c r="A20" s="111">
        <v>47</v>
      </c>
      <c r="B20" s="4" t="s">
        <v>230</v>
      </c>
      <c r="C20" s="105"/>
      <c r="D20" s="57">
        <f>+D21</f>
        <v>90262057321</v>
      </c>
      <c r="E20" s="57">
        <f>+E21</f>
        <v>79870261612</v>
      </c>
      <c r="F20" s="57">
        <f>+F21</f>
        <v>10391795709</v>
      </c>
      <c r="G20" s="108">
        <f>+F20/E20</f>
        <v>0.13010844711492342</v>
      </c>
      <c r="H20" s="94"/>
      <c r="I20" s="9"/>
      <c r="J20" s="20"/>
      <c r="K20" s="9"/>
      <c r="L20" s="9"/>
      <c r="P20" s="9"/>
    </row>
    <row r="21" spans="1:16" ht="18" customHeight="1" x14ac:dyDescent="0.2">
      <c r="A21" s="106">
        <v>4705</v>
      </c>
      <c r="B21" s="7" t="s">
        <v>231</v>
      </c>
      <c r="C21" s="105"/>
      <c r="D21" s="223">
        <v>90262057321</v>
      </c>
      <c r="E21" s="223">
        <v>79870261612</v>
      </c>
      <c r="F21" s="35">
        <f>+D21-E21</f>
        <v>10391795709</v>
      </c>
      <c r="G21" s="63">
        <f>+F21/E21</f>
        <v>0.13010844711492342</v>
      </c>
      <c r="H21" s="94"/>
      <c r="I21" s="9"/>
      <c r="J21" s="20"/>
      <c r="K21" s="9"/>
      <c r="L21" s="9"/>
      <c r="P21" s="9"/>
    </row>
    <row r="22" spans="1:16" ht="0.75" customHeight="1" x14ac:dyDescent="0.2">
      <c r="A22" s="113"/>
      <c r="B22" s="86"/>
      <c r="C22" s="105"/>
      <c r="D22" s="62"/>
      <c r="E22" s="62"/>
      <c r="F22" s="35"/>
      <c r="G22" s="63"/>
      <c r="H22" s="94">
        <v>6530286</v>
      </c>
      <c r="I22" s="9">
        <v>12467205</v>
      </c>
      <c r="J22" s="20">
        <v>9357561</v>
      </c>
      <c r="K22" s="9">
        <f>+D24-H22-I22-J22</f>
        <v>26301779794.170002</v>
      </c>
      <c r="L22" s="9">
        <f t="shared" si="3"/>
        <v>26330134846.170002</v>
      </c>
      <c r="P22" s="9">
        <f>+L22-D24</f>
        <v>0</v>
      </c>
    </row>
    <row r="23" spans="1:16" ht="15.75" customHeight="1" x14ac:dyDescent="0.2">
      <c r="A23" s="106"/>
      <c r="B23" s="206" t="s">
        <v>157</v>
      </c>
      <c r="C23" s="157"/>
      <c r="D23" s="206"/>
      <c r="E23" s="57"/>
      <c r="F23" s="35"/>
      <c r="G23" s="109"/>
      <c r="H23" s="68"/>
      <c r="I23" s="9"/>
      <c r="J23" s="20"/>
      <c r="K23" s="9">
        <f t="shared" si="2"/>
        <v>23338443770.110001</v>
      </c>
      <c r="L23" s="9"/>
      <c r="M23" s="34">
        <f>+$D$25/$D$10*100</f>
        <v>16.79212123890796</v>
      </c>
      <c r="P23" s="9">
        <f t="shared" si="4"/>
        <v>-23338443770.110001</v>
      </c>
    </row>
    <row r="24" spans="1:16" ht="15" customHeight="1" x14ac:dyDescent="0.2">
      <c r="A24" s="111">
        <v>43</v>
      </c>
      <c r="B24" s="4" t="s">
        <v>47</v>
      </c>
      <c r="C24" s="157"/>
      <c r="D24" s="58">
        <f>SUM(D25:D27)</f>
        <v>26330134846.170002</v>
      </c>
      <c r="E24" s="58">
        <f>SUM(E25:E27)</f>
        <v>26801787517.32</v>
      </c>
      <c r="F24" s="58">
        <f t="shared" ref="F24" si="5">SUM(F25:F27)</f>
        <v>-471652671.14999866</v>
      </c>
      <c r="G24" s="108">
        <f t="shared" ref="G24" si="6">+F24/E24</f>
        <v>-1.7597806521121199E-2</v>
      </c>
      <c r="H24" s="94">
        <v>15345357499</v>
      </c>
      <c r="I24" s="9">
        <v>13860099567</v>
      </c>
      <c r="J24" s="20">
        <v>11650399210</v>
      </c>
      <c r="K24" s="9">
        <f t="shared" si="2"/>
        <v>-37864165199.940002</v>
      </c>
      <c r="L24" s="9">
        <f t="shared" si="3"/>
        <v>2991691076.0599976</v>
      </c>
      <c r="M24" s="34">
        <f>+$D$26/$D$10*100</f>
        <v>2.1525359511287485</v>
      </c>
      <c r="P24" s="9">
        <f t="shared" si="4"/>
        <v>0</v>
      </c>
    </row>
    <row r="25" spans="1:16" ht="16.5" customHeight="1" x14ac:dyDescent="0.2">
      <c r="A25" s="114" t="s">
        <v>158</v>
      </c>
      <c r="B25" s="7" t="s">
        <v>48</v>
      </c>
      <c r="C25" s="105"/>
      <c r="D25" s="223">
        <v>23338443770.110001</v>
      </c>
      <c r="E25" s="223">
        <v>23981774766.549999</v>
      </c>
      <c r="F25" s="35">
        <f>+D25-E25</f>
        <v>-643330996.43999863</v>
      </c>
      <c r="G25" s="63">
        <f>+F25/E25</f>
        <v>-2.6825829310069355E-2</v>
      </c>
      <c r="H25" s="94">
        <v>15345357499</v>
      </c>
      <c r="I25" s="9">
        <v>13860099567</v>
      </c>
      <c r="J25" s="20">
        <v>11650399210</v>
      </c>
      <c r="K25" s="9">
        <f t="shared" si="2"/>
        <v>-40855856276</v>
      </c>
      <c r="L25" s="9">
        <f t="shared" si="3"/>
        <v>0</v>
      </c>
      <c r="P25" s="9">
        <f t="shared" si="4"/>
        <v>0</v>
      </c>
    </row>
    <row r="26" spans="1:16" ht="16.5" customHeight="1" x14ac:dyDescent="0.2">
      <c r="A26" s="114" t="s">
        <v>159</v>
      </c>
      <c r="B26" s="7" t="s">
        <v>49</v>
      </c>
      <c r="C26" s="105"/>
      <c r="D26" s="223">
        <v>2991691076.0599999</v>
      </c>
      <c r="E26" s="223">
        <v>2820012750.77</v>
      </c>
      <c r="F26" s="35">
        <f>+D26-E26</f>
        <v>171678325.28999996</v>
      </c>
      <c r="G26" s="63">
        <f>+F26/E26</f>
        <v>6.0878563489871973E-2</v>
      </c>
      <c r="H26" s="20"/>
      <c r="I26" s="9"/>
      <c r="J26" s="20"/>
      <c r="K26" s="9">
        <f t="shared" si="2"/>
        <v>91133997.200000003</v>
      </c>
      <c r="L26" s="9"/>
      <c r="M26" s="34">
        <f>+$D$28/$D$10*100</f>
        <v>6.5571344218273292E-2</v>
      </c>
      <c r="P26" s="9">
        <f t="shared" si="4"/>
        <v>-91133997.200000003</v>
      </c>
    </row>
    <row r="27" spans="1:16" ht="1.5" customHeight="1" x14ac:dyDescent="0.2">
      <c r="A27" s="114"/>
      <c r="B27" s="179"/>
      <c r="C27" s="73"/>
      <c r="D27" s="223"/>
      <c r="E27" s="223"/>
      <c r="F27" s="35"/>
      <c r="G27" s="63"/>
      <c r="H27" s="94"/>
      <c r="I27" s="9"/>
      <c r="J27" s="20"/>
      <c r="K27" s="9"/>
      <c r="L27" s="9"/>
      <c r="P27" s="9"/>
    </row>
    <row r="28" spans="1:16" ht="18" customHeight="1" x14ac:dyDescent="0.2">
      <c r="A28" s="111">
        <v>42</v>
      </c>
      <c r="B28" s="4" t="s">
        <v>161</v>
      </c>
      <c r="C28" s="157"/>
      <c r="D28" s="57">
        <f>SUM(D29:D30)</f>
        <v>91133997.200000003</v>
      </c>
      <c r="E28" s="57">
        <f>SUM(E29:E30)</f>
        <v>81079303</v>
      </c>
      <c r="F28" s="57">
        <f>SUM(F29:F30)</f>
        <v>10054694.200000003</v>
      </c>
      <c r="G28" s="108">
        <f t="shared" ref="G28" si="7">+F28/E28</f>
        <v>0.12401061464477565</v>
      </c>
      <c r="H28" s="21"/>
      <c r="I28" s="9"/>
      <c r="J28" s="20"/>
      <c r="K28" s="9">
        <f>+D29-H28-I28-J28</f>
        <v>119887967.2</v>
      </c>
      <c r="L28" s="9"/>
      <c r="P28" s="9">
        <f>+L28-D29</f>
        <v>-119887967.2</v>
      </c>
    </row>
    <row r="29" spans="1:16" ht="22.5" customHeight="1" x14ac:dyDescent="0.2">
      <c r="A29" s="114" t="s">
        <v>162</v>
      </c>
      <c r="B29" s="64" t="s">
        <v>46</v>
      </c>
      <c r="C29" s="73"/>
      <c r="D29" s="223">
        <v>119887967.2</v>
      </c>
      <c r="E29" s="223">
        <v>114283203</v>
      </c>
      <c r="F29" s="35">
        <f>+D29-E29</f>
        <v>5604764.200000003</v>
      </c>
      <c r="G29" s="63">
        <f t="shared" ref="G29:G30" si="8">+F29/E29</f>
        <v>4.9042764403444336E-2</v>
      </c>
      <c r="H29" s="21"/>
      <c r="I29" s="9"/>
      <c r="J29" s="20"/>
      <c r="K29" s="9"/>
      <c r="L29" s="9"/>
      <c r="P29" s="9"/>
    </row>
    <row r="30" spans="1:16" ht="24.75" customHeight="1" x14ac:dyDescent="0.2">
      <c r="A30" s="114">
        <v>4295</v>
      </c>
      <c r="B30" s="179" t="s">
        <v>205</v>
      </c>
      <c r="C30" s="199"/>
      <c r="D30" s="223">
        <v>-28753970</v>
      </c>
      <c r="E30" s="223">
        <v>-33203900</v>
      </c>
      <c r="F30" s="35">
        <f>+D30-E30</f>
        <v>4449930</v>
      </c>
      <c r="G30" s="63">
        <f t="shared" si="8"/>
        <v>-0.13401829303184265</v>
      </c>
      <c r="H30" s="20"/>
      <c r="I30" s="9"/>
      <c r="J30" s="20"/>
      <c r="K30" s="9" t="e">
        <f>+#REF!-H30-I30-J30</f>
        <v>#REF!</v>
      </c>
      <c r="L30" s="9"/>
      <c r="P30" s="9" t="e">
        <f>+L30-#REF!</f>
        <v>#REF!</v>
      </c>
    </row>
    <row r="31" spans="1:16" ht="2.25" customHeight="1" x14ac:dyDescent="0.2">
      <c r="A31" s="114"/>
      <c r="B31" s="64"/>
      <c r="C31" s="73"/>
      <c r="D31" s="62"/>
      <c r="E31" s="62"/>
      <c r="F31" s="35"/>
      <c r="G31" s="63"/>
      <c r="H31" s="94">
        <v>10464180802.92</v>
      </c>
      <c r="I31" s="9">
        <v>15731513952.08</v>
      </c>
      <c r="J31" s="20">
        <v>11844660121.180002</v>
      </c>
      <c r="K31" s="9">
        <f>+D32-H31-I31-J31</f>
        <v>43617429456.310005</v>
      </c>
      <c r="L31" s="9">
        <f t="shared" si="3"/>
        <v>81657784332.490005</v>
      </c>
      <c r="M31" s="36">
        <f>+$D$32/$D$32*100</f>
        <v>100</v>
      </c>
      <c r="N31" s="70">
        <f>+$D$32+$D$39+$D$64</f>
        <v>92562098585.470001</v>
      </c>
      <c r="P31" s="9">
        <f>+L31-D32</f>
        <v>0</v>
      </c>
    </row>
    <row r="32" spans="1:16" ht="20.25" customHeight="1" x14ac:dyDescent="0.25">
      <c r="A32" s="198">
        <v>6</v>
      </c>
      <c r="B32" s="215" t="s">
        <v>51</v>
      </c>
      <c r="C32" s="157"/>
      <c r="D32" s="142">
        <f>+D34+D37</f>
        <v>81657784332.490005</v>
      </c>
      <c r="E32" s="142">
        <f t="shared" ref="E32:F32" si="9">+E34+E37</f>
        <v>71044195423.930008</v>
      </c>
      <c r="F32" s="142">
        <f t="shared" si="9"/>
        <v>10613588908.560003</v>
      </c>
      <c r="G32" s="143">
        <f>+F32/E32</f>
        <v>0.14939417422109336</v>
      </c>
      <c r="H32" s="94">
        <v>642755620</v>
      </c>
      <c r="I32" s="9">
        <v>783667031</v>
      </c>
      <c r="J32" s="20">
        <v>789034192.30000019</v>
      </c>
      <c r="K32" s="9">
        <f>+D34-H32-I32-J32</f>
        <v>-2168432931.8000002</v>
      </c>
      <c r="L32" s="9">
        <f t="shared" si="3"/>
        <v>47023911.5</v>
      </c>
      <c r="M32" s="34">
        <f>+$D$34/$D$32*100</f>
        <v>5.7586563099153457E-2</v>
      </c>
      <c r="N32" s="34">
        <f>+$D$32/$N$31*100</f>
        <v>88.219460859661496</v>
      </c>
      <c r="P32" s="9">
        <f>+L32-D34</f>
        <v>0</v>
      </c>
    </row>
    <row r="33" spans="1:24" ht="1.5" customHeight="1" x14ac:dyDescent="0.25">
      <c r="A33" s="111"/>
      <c r="B33" s="60"/>
      <c r="C33" s="197"/>
      <c r="D33" s="57"/>
      <c r="E33" s="57"/>
      <c r="F33" s="57"/>
      <c r="G33" s="108"/>
      <c r="H33" s="94">
        <v>552422371.75999999</v>
      </c>
      <c r="I33" s="9">
        <v>1197919031.24</v>
      </c>
      <c r="J33" s="20">
        <v>807719924.30999994</v>
      </c>
      <c r="K33" s="9">
        <f>+D35-H33-I33-J33</f>
        <v>-2511037415.8099999</v>
      </c>
      <c r="L33" s="9">
        <f t="shared" si="3"/>
        <v>47023911.5</v>
      </c>
      <c r="M33" s="34">
        <f>+$D$35/$D$32*100</f>
        <v>5.7586563099153457E-2</v>
      </c>
      <c r="N33" s="34"/>
      <c r="P33" s="9">
        <f>+L33-D35</f>
        <v>0</v>
      </c>
    </row>
    <row r="34" spans="1:24" ht="18" customHeight="1" x14ac:dyDescent="0.2">
      <c r="A34" s="111">
        <v>62</v>
      </c>
      <c r="B34" s="4" t="s">
        <v>52</v>
      </c>
      <c r="C34" s="199"/>
      <c r="D34" s="57">
        <f>SUM(D35:D35)</f>
        <v>47023911.5</v>
      </c>
      <c r="E34" s="57">
        <f>SUM(E35:E35)</f>
        <v>52540842.850000001</v>
      </c>
      <c r="F34" s="57">
        <f>SUM(F35:F35)</f>
        <v>-5516931.3500000015</v>
      </c>
      <c r="G34" s="108">
        <f>+F34/E34</f>
        <v>-0.10500271885151156</v>
      </c>
      <c r="H34" s="94">
        <v>6783518446.6300001</v>
      </c>
      <c r="I34" s="9">
        <v>10091715879.369999</v>
      </c>
      <c r="J34" s="20">
        <v>7013295588.6100006</v>
      </c>
      <c r="K34" s="9">
        <f>+D36-H34-I34-J34</f>
        <v>-23888529914.610001</v>
      </c>
      <c r="L34" s="9">
        <f t="shared" si="3"/>
        <v>0</v>
      </c>
      <c r="M34" s="34">
        <f>+$D$36/$D$32*100</f>
        <v>0</v>
      </c>
      <c r="N34" s="34"/>
      <c r="P34" s="9">
        <f>+L34-D36</f>
        <v>0</v>
      </c>
    </row>
    <row r="35" spans="1:24" ht="18" customHeight="1" x14ac:dyDescent="0.2">
      <c r="A35" s="114">
        <v>6210</v>
      </c>
      <c r="B35" s="64" t="s">
        <v>46</v>
      </c>
      <c r="C35" s="105"/>
      <c r="D35" s="223">
        <v>47023911.5</v>
      </c>
      <c r="E35" s="223">
        <v>52540842.850000001</v>
      </c>
      <c r="F35" s="35">
        <f>+D35-E35</f>
        <v>-5516931.3500000015</v>
      </c>
      <c r="G35" s="63">
        <f>+F35/E35</f>
        <v>-0.10500271885151156</v>
      </c>
      <c r="H35" s="94">
        <v>1021178656.34</v>
      </c>
      <c r="I35" s="9">
        <v>1325904338.6599998</v>
      </c>
      <c r="J35" s="20">
        <v>1014725204.25</v>
      </c>
      <c r="K35" s="9">
        <f>+D37-H35-I35-J35</f>
        <v>78248952221.740005</v>
      </c>
      <c r="L35" s="9">
        <f t="shared" si="3"/>
        <v>81610760420.990005</v>
      </c>
      <c r="M35" s="34">
        <f>+$D$37/$D$32*100</f>
        <v>99.94241343690085</v>
      </c>
      <c r="N35" s="34"/>
      <c r="P35" s="9">
        <f>+L35-D37</f>
        <v>0</v>
      </c>
    </row>
    <row r="36" spans="1:24" ht="2.25" customHeight="1" x14ac:dyDescent="0.2">
      <c r="A36" s="114"/>
      <c r="B36" s="69"/>
      <c r="C36" s="76"/>
      <c r="D36" s="21"/>
      <c r="E36" s="35"/>
      <c r="F36" s="35"/>
      <c r="G36" s="63"/>
      <c r="H36" s="94">
        <v>767793728.62</v>
      </c>
      <c r="I36" s="9">
        <v>1210684351.3800001</v>
      </c>
      <c r="J36" s="20">
        <v>1150415184.9299998</v>
      </c>
      <c r="K36" s="9" t="e">
        <f>+#REF!-H36-I36-J36</f>
        <v>#REF!</v>
      </c>
      <c r="L36" s="9" t="e">
        <f t="shared" si="3"/>
        <v>#REF!</v>
      </c>
      <c r="M36" s="34" t="e">
        <f>+#REF!/$D$32*100</f>
        <v>#REF!</v>
      </c>
      <c r="N36" s="34"/>
      <c r="P36" s="9" t="e">
        <f>+L36-#REF!</f>
        <v>#REF!</v>
      </c>
    </row>
    <row r="37" spans="1:24" ht="16.5" customHeight="1" x14ac:dyDescent="0.2">
      <c r="A37" s="111">
        <v>63</v>
      </c>
      <c r="B37" s="61" t="s">
        <v>163</v>
      </c>
      <c r="C37" s="199"/>
      <c r="D37" s="58">
        <f>SUM(D38:D39)</f>
        <v>81610760420.990005</v>
      </c>
      <c r="E37" s="58">
        <f>SUM(E38:E39)</f>
        <v>70991654581.080002</v>
      </c>
      <c r="F37" s="58">
        <f>SUM(F38:F39)</f>
        <v>10619105839.910004</v>
      </c>
      <c r="G37" s="108">
        <f>+F37/E37</f>
        <v>0.14958245307245033</v>
      </c>
      <c r="H37" s="94">
        <v>566300307.63999999</v>
      </c>
      <c r="I37" s="9">
        <v>924675414.36000001</v>
      </c>
      <c r="J37" s="20">
        <v>869444936.21000016</v>
      </c>
      <c r="K37" s="9" t="e">
        <f>+#REF!-H37-I37-J37</f>
        <v>#REF!</v>
      </c>
      <c r="L37" s="9" t="e">
        <f t="shared" si="3"/>
        <v>#REF!</v>
      </c>
      <c r="M37" s="34" t="e">
        <f>+#REF!/$D$32*100</f>
        <v>#REF!</v>
      </c>
      <c r="N37" s="34"/>
      <c r="P37" s="9" t="e">
        <f>+L37-#REF!</f>
        <v>#REF!</v>
      </c>
    </row>
    <row r="38" spans="1:24" ht="18" customHeight="1" x14ac:dyDescent="0.2">
      <c r="A38" s="114">
        <v>6305</v>
      </c>
      <c r="B38" s="7" t="s">
        <v>48</v>
      </c>
      <c r="C38" s="77"/>
      <c r="D38" s="223">
        <v>81610760420.990005</v>
      </c>
      <c r="E38" s="223">
        <v>70991654581.080002</v>
      </c>
      <c r="F38" s="35">
        <f>+D38-E38</f>
        <v>10619105839.910004</v>
      </c>
      <c r="G38" s="63">
        <f>+F38/E38</f>
        <v>0.14958245307245033</v>
      </c>
      <c r="H38" s="20"/>
      <c r="I38" s="9"/>
      <c r="J38" s="20"/>
      <c r="K38" s="9">
        <f t="shared" si="0"/>
        <v>81610760420.990005</v>
      </c>
      <c r="L38" s="9"/>
      <c r="N38" s="34"/>
      <c r="P38" s="9">
        <f t="shared" si="1"/>
        <v>-81610760420.990005</v>
      </c>
    </row>
    <row r="39" spans="1:24" ht="2.25" hidden="1" customHeight="1" x14ac:dyDescent="0.2">
      <c r="A39" s="114"/>
      <c r="B39" s="7"/>
      <c r="C39" s="73"/>
      <c r="D39" s="62"/>
      <c r="E39" s="62"/>
      <c r="F39" s="35"/>
      <c r="G39" s="63"/>
      <c r="H39" s="94">
        <v>3932411064.6500001</v>
      </c>
      <c r="I39" s="9">
        <v>6353337173.3500004</v>
      </c>
      <c r="J39" s="20">
        <v>6643372948.0799999</v>
      </c>
      <c r="K39" s="9">
        <f t="shared" si="0"/>
        <v>-16929121186.08</v>
      </c>
      <c r="L39" s="9">
        <f t="shared" si="3"/>
        <v>0</v>
      </c>
      <c r="N39" s="34">
        <f>+$D$39/$N$31*100</f>
        <v>0</v>
      </c>
      <c r="P39" s="9">
        <f t="shared" si="1"/>
        <v>0</v>
      </c>
    </row>
    <row r="40" spans="1:24" ht="21.75" customHeight="1" x14ac:dyDescent="0.25">
      <c r="A40" s="198">
        <v>5</v>
      </c>
      <c r="B40" s="215" t="s">
        <v>53</v>
      </c>
      <c r="C40" s="157"/>
      <c r="D40" s="142">
        <f>+D42+D52</f>
        <v>38061777387.620003</v>
      </c>
      <c r="E40" s="142">
        <f>+E42+E52</f>
        <v>31098124903.699997</v>
      </c>
      <c r="F40" s="142">
        <f>+F42+F52</f>
        <v>6963652483.920001</v>
      </c>
      <c r="G40" s="143">
        <f>+F40/E40</f>
        <v>0.22392515643576563</v>
      </c>
      <c r="H40" s="20"/>
      <c r="I40" s="9"/>
      <c r="J40" s="20"/>
      <c r="K40" s="9" t="e">
        <f>+#REF!-H40-I40-J40</f>
        <v>#REF!</v>
      </c>
      <c r="L40" s="9"/>
      <c r="P40" s="9" t="e">
        <f>+L40-#REF!</f>
        <v>#REF!</v>
      </c>
    </row>
    <row r="41" spans="1:24" ht="0.75" customHeight="1" x14ac:dyDescent="0.25">
      <c r="A41" s="106"/>
      <c r="B41" s="56"/>
      <c r="C41" s="39"/>
      <c r="D41" s="13"/>
      <c r="E41" s="57"/>
      <c r="F41" s="35"/>
      <c r="G41" s="63"/>
      <c r="H41" s="94">
        <v>3838835701.6399999</v>
      </c>
      <c r="I41" s="9">
        <v>5932212511.3600006</v>
      </c>
      <c r="J41" s="20">
        <v>6538796787.4899998</v>
      </c>
      <c r="K41" s="9" t="e">
        <f>+#REF!-H41-I41-J41</f>
        <v>#REF!</v>
      </c>
      <c r="L41" s="9" t="e">
        <f t="shared" si="3"/>
        <v>#REF!</v>
      </c>
      <c r="M41" s="36" t="e">
        <f>+#REF!/#REF!*100</f>
        <v>#REF!</v>
      </c>
      <c r="P41" s="9" t="e">
        <f>+L41-#REF!</f>
        <v>#REF!</v>
      </c>
    </row>
    <row r="42" spans="1:24" ht="20.25" customHeight="1" x14ac:dyDescent="0.2">
      <c r="A42" s="111">
        <v>51</v>
      </c>
      <c r="B42" s="61" t="s">
        <v>54</v>
      </c>
      <c r="C42" s="157"/>
      <c r="D42" s="57">
        <f>SUM(D43:D50)</f>
        <v>36823750029.75</v>
      </c>
      <c r="E42" s="57">
        <f>SUM(E43:E50)</f>
        <v>30002778603.119995</v>
      </c>
      <c r="F42" s="57">
        <f>SUM(F43:F50)</f>
        <v>6820971426.6300011</v>
      </c>
      <c r="G42" s="108">
        <f>+F42/E42</f>
        <v>0.22734465753517533</v>
      </c>
      <c r="H42" s="94">
        <v>1621519242.53</v>
      </c>
      <c r="I42" s="9">
        <v>2245454619.4700003</v>
      </c>
      <c r="J42" s="20">
        <v>2320179046.9200001</v>
      </c>
      <c r="K42" s="9" t="e">
        <f>+#REF!-H42-I42-J42</f>
        <v>#REF!</v>
      </c>
      <c r="L42" s="9" t="e">
        <f t="shared" si="3"/>
        <v>#REF!</v>
      </c>
      <c r="M42" s="34" t="e">
        <f>+#REF!/#REF!*100</f>
        <v>#REF!</v>
      </c>
      <c r="P42" s="9" t="e">
        <f>+L42-#REF!</f>
        <v>#REF!</v>
      </c>
    </row>
    <row r="43" spans="1:24" ht="15.95" customHeight="1" x14ac:dyDescent="0.2">
      <c r="A43" s="114" t="s">
        <v>164</v>
      </c>
      <c r="B43" s="7" t="s">
        <v>165</v>
      </c>
      <c r="C43" s="105"/>
      <c r="D43" s="223">
        <v>10567313566.01</v>
      </c>
      <c r="E43" s="223">
        <v>9426781835.7299995</v>
      </c>
      <c r="F43" s="35">
        <f t="shared" ref="F43:F50" si="10">+D43-E43</f>
        <v>1140531730.2800007</v>
      </c>
      <c r="G43" s="63">
        <f t="shared" ref="G43:G50" si="11">+F43/E43</f>
        <v>0.12098845079421308</v>
      </c>
      <c r="H43" s="94">
        <v>6920376</v>
      </c>
      <c r="I43" s="9">
        <v>30724349</v>
      </c>
      <c r="J43" s="20">
        <v>63890050</v>
      </c>
      <c r="K43" s="9" t="e">
        <f>+#REF!-H43-I43-J43</f>
        <v>#REF!</v>
      </c>
      <c r="L43" s="9" t="e">
        <f t="shared" si="3"/>
        <v>#REF!</v>
      </c>
      <c r="M43" s="34" t="e">
        <f>+#REF!/#REF!*100</f>
        <v>#REF!</v>
      </c>
      <c r="P43" s="9" t="e">
        <f>+L43-#REF!</f>
        <v>#REF!</v>
      </c>
      <c r="U43" s="9"/>
      <c r="V43" s="9"/>
      <c r="W43" s="9"/>
      <c r="X43" s="181"/>
    </row>
    <row r="44" spans="1:24" ht="15.95" customHeight="1" x14ac:dyDescent="0.2">
      <c r="A44" s="114" t="s">
        <v>166</v>
      </c>
      <c r="B44" s="7" t="s">
        <v>55</v>
      </c>
      <c r="C44" s="105"/>
      <c r="D44" s="223">
        <v>154543650.13</v>
      </c>
      <c r="E44" s="223">
        <v>158050232.99000001</v>
      </c>
      <c r="F44" s="35">
        <f t="shared" si="10"/>
        <v>-3506582.8600000143</v>
      </c>
      <c r="G44" s="63">
        <f t="shared" si="11"/>
        <v>-2.2186508641349988E-2</v>
      </c>
      <c r="H44" s="94">
        <v>352960356</v>
      </c>
      <c r="I44" s="9">
        <v>384494656</v>
      </c>
      <c r="J44" s="20">
        <v>383013740</v>
      </c>
      <c r="K44" s="9">
        <f t="shared" ref="K44:K47" si="12">+D40-H44-I44-J44</f>
        <v>36941308635.620003</v>
      </c>
      <c r="L44" s="9">
        <f t="shared" si="3"/>
        <v>38061777387.620003</v>
      </c>
      <c r="M44" s="34" t="e">
        <f>+$D$40/#REF!*100</f>
        <v>#REF!</v>
      </c>
      <c r="P44" s="9">
        <f t="shared" ref="P44:P47" si="13">+L44-D40</f>
        <v>0</v>
      </c>
    </row>
    <row r="45" spans="1:24" ht="15.95" customHeight="1" x14ac:dyDescent="0.2">
      <c r="A45" s="114" t="s">
        <v>167</v>
      </c>
      <c r="B45" s="7" t="s">
        <v>168</v>
      </c>
      <c r="C45" s="105"/>
      <c r="D45" s="223">
        <v>3022319474.4299998</v>
      </c>
      <c r="E45" s="223">
        <v>2536335763</v>
      </c>
      <c r="F45" s="35">
        <f t="shared" si="10"/>
        <v>485983711.42999983</v>
      </c>
      <c r="G45" s="63">
        <f t="shared" si="11"/>
        <v>0.19160858689118276</v>
      </c>
      <c r="H45" s="94">
        <v>39254600</v>
      </c>
      <c r="I45" s="9">
        <v>60021800</v>
      </c>
      <c r="J45" s="20">
        <v>51807000</v>
      </c>
      <c r="K45" s="9">
        <f t="shared" si="12"/>
        <v>-151083400</v>
      </c>
      <c r="L45" s="9">
        <f t="shared" si="3"/>
        <v>0</v>
      </c>
      <c r="M45" s="34" t="e">
        <f>+$D$41/#REF!*100</f>
        <v>#REF!</v>
      </c>
      <c r="P45" s="9">
        <f t="shared" si="13"/>
        <v>0</v>
      </c>
    </row>
    <row r="46" spans="1:24" ht="15.95" customHeight="1" x14ac:dyDescent="0.2">
      <c r="A46" s="114" t="s">
        <v>169</v>
      </c>
      <c r="B46" s="7" t="s">
        <v>170</v>
      </c>
      <c r="C46" s="105"/>
      <c r="D46" s="223">
        <v>314728178.11000001</v>
      </c>
      <c r="E46" s="223">
        <v>262967871</v>
      </c>
      <c r="F46" s="35">
        <f t="shared" si="10"/>
        <v>51760307.110000014</v>
      </c>
      <c r="G46" s="63">
        <f t="shared" si="11"/>
        <v>0.19683129696859436</v>
      </c>
      <c r="H46" s="94">
        <v>1243762868.1099999</v>
      </c>
      <c r="I46" s="9">
        <v>2421688351.8900003</v>
      </c>
      <c r="J46" s="20">
        <v>3484033513.9099998</v>
      </c>
      <c r="K46" s="9">
        <f t="shared" si="12"/>
        <v>29674265295.84</v>
      </c>
      <c r="L46" s="9">
        <f t="shared" si="3"/>
        <v>36823750029.75</v>
      </c>
      <c r="M46" s="34" t="e">
        <f>+$D$42/#REF!*100</f>
        <v>#REF!</v>
      </c>
      <c r="P46" s="9">
        <f t="shared" si="13"/>
        <v>0</v>
      </c>
    </row>
    <row r="47" spans="1:24" ht="15" customHeight="1" x14ac:dyDescent="0.2">
      <c r="A47" s="114" t="s">
        <v>171</v>
      </c>
      <c r="B47" s="7" t="s">
        <v>172</v>
      </c>
      <c r="C47" s="105"/>
      <c r="D47" s="223">
        <v>4555483378.8299999</v>
      </c>
      <c r="E47" s="223">
        <v>3224324992</v>
      </c>
      <c r="F47" s="35">
        <f t="shared" si="10"/>
        <v>1331158386.8299999</v>
      </c>
      <c r="G47" s="63">
        <f t="shared" si="11"/>
        <v>0.41284870170742388</v>
      </c>
      <c r="H47" s="94">
        <v>574418259</v>
      </c>
      <c r="I47" s="9">
        <v>789828735</v>
      </c>
      <c r="J47" s="20">
        <v>235873436.66000009</v>
      </c>
      <c r="K47" s="9">
        <f t="shared" si="12"/>
        <v>8967193135.3500004</v>
      </c>
      <c r="L47" s="9">
        <f t="shared" si="3"/>
        <v>10567313566.01</v>
      </c>
      <c r="M47" s="34" t="e">
        <f>+$D$43/#REF!*100</f>
        <v>#REF!</v>
      </c>
      <c r="P47" s="9">
        <f t="shared" si="13"/>
        <v>0</v>
      </c>
    </row>
    <row r="48" spans="1:24" x14ac:dyDescent="0.2">
      <c r="A48" s="114">
        <v>5108</v>
      </c>
      <c r="B48" s="7" t="s">
        <v>192</v>
      </c>
      <c r="C48" s="105"/>
      <c r="D48" s="223">
        <v>47079821</v>
      </c>
      <c r="E48" s="223">
        <v>69262101</v>
      </c>
      <c r="F48" s="35">
        <f t="shared" si="10"/>
        <v>-22182280</v>
      </c>
      <c r="G48" s="63">
        <f t="shared" si="11"/>
        <v>-0.32026576843229171</v>
      </c>
      <c r="H48" s="94"/>
      <c r="I48" s="9"/>
      <c r="J48" s="20"/>
      <c r="K48" s="9"/>
      <c r="L48" s="9"/>
      <c r="M48" s="34"/>
      <c r="P48" s="9"/>
    </row>
    <row r="49" spans="1:16" ht="15.95" customHeight="1" x14ac:dyDescent="0.2">
      <c r="A49" s="114" t="s">
        <v>173</v>
      </c>
      <c r="B49" s="7" t="s">
        <v>56</v>
      </c>
      <c r="C49" s="105"/>
      <c r="D49" s="223">
        <v>15695895656.74</v>
      </c>
      <c r="E49" s="223">
        <v>12165175237.48</v>
      </c>
      <c r="F49" s="35">
        <f t="shared" si="10"/>
        <v>3530720419.2600002</v>
      </c>
      <c r="G49" s="63">
        <f t="shared" si="11"/>
        <v>0.29023177638922237</v>
      </c>
      <c r="H49" s="94">
        <v>93575363.010000005</v>
      </c>
      <c r="I49" s="9">
        <v>421124661.99000001</v>
      </c>
      <c r="J49" s="20">
        <v>104576160.58999991</v>
      </c>
      <c r="K49" s="9">
        <f>+D45-H49-I49-J49</f>
        <v>2403043288.8399992</v>
      </c>
      <c r="L49" s="9">
        <f t="shared" si="3"/>
        <v>3022319474.4299994</v>
      </c>
      <c r="P49" s="9">
        <f>+L49-D45</f>
        <v>0</v>
      </c>
    </row>
    <row r="50" spans="1:16" ht="15.95" customHeight="1" x14ac:dyDescent="0.2">
      <c r="A50" s="114" t="s">
        <v>174</v>
      </c>
      <c r="B50" s="179" t="s">
        <v>57</v>
      </c>
      <c r="C50" s="105"/>
      <c r="D50" s="223">
        <v>2466386304.5</v>
      </c>
      <c r="E50" s="223">
        <v>2159880569.9200001</v>
      </c>
      <c r="F50" s="35">
        <f t="shared" si="10"/>
        <v>306505734.57999992</v>
      </c>
      <c r="G50" s="63">
        <f t="shared" si="11"/>
        <v>0.14190864941729284</v>
      </c>
      <c r="H50" s="20"/>
      <c r="I50" s="9"/>
      <c r="J50" s="20"/>
      <c r="K50" s="9">
        <f>+D46-H50-I50-J50</f>
        <v>314728178.11000001</v>
      </c>
      <c r="L50" s="9"/>
      <c r="P50" s="9">
        <f>+L50-D46</f>
        <v>-314728178.11000001</v>
      </c>
    </row>
    <row r="51" spans="1:16" ht="4.5" customHeight="1" x14ac:dyDescent="0.2">
      <c r="A51" s="114"/>
      <c r="B51" s="64"/>
      <c r="C51" s="73"/>
      <c r="D51" s="59"/>
      <c r="E51" s="59"/>
      <c r="F51" s="35"/>
      <c r="G51" s="63"/>
      <c r="H51" s="94">
        <v>0</v>
      </c>
      <c r="I51" s="9">
        <v>325346007</v>
      </c>
      <c r="J51" s="20">
        <v>8086827</v>
      </c>
      <c r="K51" s="9">
        <f>+D47-H51-I51-J51</f>
        <v>4222050544.8299999</v>
      </c>
      <c r="L51" s="9">
        <f t="shared" si="3"/>
        <v>4555483378.8299999</v>
      </c>
      <c r="P51" s="9">
        <f>+L51-D47</f>
        <v>0</v>
      </c>
    </row>
    <row r="52" spans="1:16" ht="32.25" customHeight="1" x14ac:dyDescent="0.2">
      <c r="A52" s="115">
        <v>53</v>
      </c>
      <c r="B52" s="180" t="s">
        <v>175</v>
      </c>
      <c r="C52" s="157"/>
      <c r="D52" s="58">
        <f>SUM(D53:D57)</f>
        <v>1238027357.8700001</v>
      </c>
      <c r="E52" s="58">
        <f>SUM(E53:E57)</f>
        <v>1095346300.5799999</v>
      </c>
      <c r="F52" s="58">
        <f>SUM(F53:F57)</f>
        <v>142681057.29000005</v>
      </c>
      <c r="G52" s="108">
        <f>+F52/E52</f>
        <v>0.13026113952678584</v>
      </c>
      <c r="H52" s="94">
        <v>93575363.010000005</v>
      </c>
      <c r="I52" s="9">
        <v>95778654.989999995</v>
      </c>
      <c r="J52" s="20">
        <v>96489333.589999989</v>
      </c>
      <c r="K52" s="9" t="e">
        <f>+#REF!-H52-I52-J52</f>
        <v>#REF!</v>
      </c>
      <c r="L52" s="9" t="e">
        <f t="shared" si="3"/>
        <v>#REF!</v>
      </c>
      <c r="P52" s="9" t="e">
        <f>+L52-#REF!</f>
        <v>#REF!</v>
      </c>
    </row>
    <row r="53" spans="1:16" x14ac:dyDescent="0.2">
      <c r="A53" s="114">
        <v>5347</v>
      </c>
      <c r="B53" s="179" t="s">
        <v>200</v>
      </c>
      <c r="C53" s="105"/>
      <c r="D53" s="223">
        <v>410547</v>
      </c>
      <c r="E53" s="223">
        <v>6817016</v>
      </c>
      <c r="F53" s="35">
        <f t="shared" ref="F53:F57" si="14">+D53-E53</f>
        <v>-6406469</v>
      </c>
      <c r="G53" s="63">
        <f t="shared" ref="G53" si="15">+F53/E53</f>
        <v>-0.93977614252335628</v>
      </c>
      <c r="H53" s="21"/>
      <c r="I53" s="9"/>
      <c r="J53" s="20"/>
      <c r="K53" s="9"/>
      <c r="L53" s="9"/>
      <c r="P53" s="9"/>
    </row>
    <row r="54" spans="1:16" hidden="1" x14ac:dyDescent="0.2">
      <c r="A54" s="114">
        <v>5350</v>
      </c>
      <c r="B54" s="64" t="s">
        <v>194</v>
      </c>
      <c r="C54" s="73"/>
      <c r="D54" s="223">
        <v>0</v>
      </c>
      <c r="E54" s="62">
        <v>0</v>
      </c>
      <c r="F54" s="35">
        <f t="shared" si="14"/>
        <v>0</v>
      </c>
      <c r="G54" s="63" t="e">
        <f t="shared" ref="G54:G57" si="16">+F54/E54</f>
        <v>#DIV/0!</v>
      </c>
      <c r="H54" s="21"/>
      <c r="I54" s="9"/>
      <c r="J54" s="20"/>
      <c r="K54" s="9"/>
      <c r="L54" s="9"/>
      <c r="P54" s="9"/>
    </row>
    <row r="55" spans="1:16" ht="26.25" customHeight="1" x14ac:dyDescent="0.2">
      <c r="A55" s="114" t="s">
        <v>176</v>
      </c>
      <c r="B55" s="179" t="s">
        <v>177</v>
      </c>
      <c r="C55" s="73"/>
      <c r="D55" s="223">
        <v>1050221450.5700001</v>
      </c>
      <c r="E55" s="223">
        <v>892539491.98000002</v>
      </c>
      <c r="F55" s="35">
        <f t="shared" si="14"/>
        <v>157681958.59000003</v>
      </c>
      <c r="G55" s="63">
        <f t="shared" si="16"/>
        <v>0.17666664613371905</v>
      </c>
      <c r="H55" s="20"/>
      <c r="I55" s="9"/>
      <c r="J55" s="20"/>
      <c r="K55" s="9">
        <f>+D51-H55-I55-J55</f>
        <v>0</v>
      </c>
      <c r="L55" s="9"/>
      <c r="P55" s="9">
        <f>+L55-D51</f>
        <v>0</v>
      </c>
    </row>
    <row r="56" spans="1:16" ht="15.95" customHeight="1" x14ac:dyDescent="0.2">
      <c r="A56" s="114" t="s">
        <v>178</v>
      </c>
      <c r="B56" s="7" t="s">
        <v>179</v>
      </c>
      <c r="C56" s="73"/>
      <c r="D56" s="223">
        <v>167896533.30000001</v>
      </c>
      <c r="E56" s="223">
        <v>179300139.59999999</v>
      </c>
      <c r="F56" s="35">
        <f t="shared" si="14"/>
        <v>-11403606.299999982</v>
      </c>
      <c r="G56" s="63">
        <f t="shared" si="16"/>
        <v>-6.3600654887610492E-2</v>
      </c>
      <c r="H56" s="20"/>
      <c r="I56" s="9"/>
      <c r="J56" s="20"/>
      <c r="K56" s="9"/>
      <c r="L56" s="9"/>
      <c r="P56" s="9"/>
    </row>
    <row r="57" spans="1:16" ht="15" customHeight="1" x14ac:dyDescent="0.2">
      <c r="A57" s="114">
        <v>5368</v>
      </c>
      <c r="B57" s="7" t="s">
        <v>195</v>
      </c>
      <c r="C57" s="73"/>
      <c r="D57" s="223">
        <v>19498827</v>
      </c>
      <c r="E57" s="223">
        <v>16689653</v>
      </c>
      <c r="F57" s="35">
        <f t="shared" si="14"/>
        <v>2809174</v>
      </c>
      <c r="G57" s="63">
        <f t="shared" si="16"/>
        <v>0.16831829876870419</v>
      </c>
      <c r="H57" s="94">
        <v>46018565.560000002</v>
      </c>
      <c r="I57" s="9">
        <v>45131397.439999998</v>
      </c>
      <c r="J57" s="20">
        <v>61816367.050000012</v>
      </c>
      <c r="K57" s="9">
        <f t="shared" ref="K57:K73" si="17">+D57-H57-I57-J57</f>
        <v>-133467503.05000001</v>
      </c>
      <c r="L57" s="9">
        <f>+H57+I57+J57+K57</f>
        <v>19498827</v>
      </c>
      <c r="M57" s="34" t="e">
        <f>+D57/#REF!*100</f>
        <v>#REF!</v>
      </c>
      <c r="P57" s="9">
        <f t="shared" ref="P57:P73" si="18">+L57-D57</f>
        <v>0</v>
      </c>
    </row>
    <row r="58" spans="1:16" ht="7.5" customHeight="1" x14ac:dyDescent="0.2">
      <c r="A58" s="114"/>
      <c r="B58" s="7"/>
      <c r="C58" s="73"/>
      <c r="D58" s="21"/>
      <c r="E58" s="35"/>
      <c r="F58" s="62"/>
      <c r="G58" s="63"/>
      <c r="H58" s="94"/>
      <c r="I58" s="9"/>
      <c r="J58" s="20"/>
      <c r="K58" s="9"/>
      <c r="L58" s="9"/>
      <c r="M58" s="34"/>
      <c r="P58" s="9"/>
    </row>
    <row r="59" spans="1:16" ht="15.75" x14ac:dyDescent="0.25">
      <c r="A59" s="196"/>
      <c r="B59" s="104" t="s">
        <v>187</v>
      </c>
      <c r="C59" s="199"/>
      <c r="D59" s="142">
        <f>+D10-D40-D32</f>
        <v>19264926529.259995</v>
      </c>
      <c r="E59" s="142">
        <f>+E10-E40-E32</f>
        <v>16692288124.690002</v>
      </c>
      <c r="F59" s="142">
        <f>+F10-F40-F32</f>
        <v>2572638404.5699978</v>
      </c>
      <c r="G59" s="143">
        <f>+F59/E59</f>
        <v>0.15412137541316104</v>
      </c>
      <c r="H59" s="94">
        <v>0</v>
      </c>
      <c r="I59" s="9">
        <v>8924941</v>
      </c>
      <c r="J59" s="20">
        <v>1977051</v>
      </c>
      <c r="K59" s="9">
        <f t="shared" si="17"/>
        <v>19254024537.259995</v>
      </c>
      <c r="L59" s="9">
        <f>+H59+I59+J59+K59</f>
        <v>19264926529.259995</v>
      </c>
      <c r="M59" s="34" t="e">
        <f>+D59/#REF!*100</f>
        <v>#REF!</v>
      </c>
      <c r="P59" s="9">
        <f t="shared" si="18"/>
        <v>0</v>
      </c>
    </row>
    <row r="60" spans="1:16" ht="3" hidden="1" customHeight="1" x14ac:dyDescent="0.25">
      <c r="A60" s="106"/>
      <c r="B60" s="60"/>
      <c r="C60" s="197"/>
      <c r="D60" s="57"/>
      <c r="E60" s="57"/>
      <c r="F60" s="57"/>
      <c r="G60" s="108"/>
      <c r="H60" s="92"/>
      <c r="I60" s="9"/>
      <c r="J60" s="20"/>
      <c r="K60" s="9"/>
      <c r="L60" s="9"/>
      <c r="M60" s="34"/>
      <c r="P60" s="9"/>
    </row>
    <row r="61" spans="1:16" ht="21" customHeight="1" x14ac:dyDescent="0.25">
      <c r="A61" s="196"/>
      <c r="B61" s="215" t="s">
        <v>180</v>
      </c>
      <c r="C61" s="199"/>
      <c r="D61" s="142">
        <f>+D62</f>
        <v>13047824990.549999</v>
      </c>
      <c r="E61" s="142">
        <f t="shared" ref="E61:F61" si="19">+E62</f>
        <v>13171979948.27</v>
      </c>
      <c r="F61" s="142">
        <f t="shared" si="19"/>
        <v>-124154957.72000074</v>
      </c>
      <c r="G61" s="143">
        <f>+F61/E61</f>
        <v>-9.4256868145557102E-3</v>
      </c>
      <c r="H61" s="92">
        <v>55257</v>
      </c>
      <c r="I61" s="9">
        <v>266075</v>
      </c>
      <c r="J61" s="20">
        <v>11398451</v>
      </c>
      <c r="K61" s="9">
        <f t="shared" si="17"/>
        <v>13036105207.549999</v>
      </c>
      <c r="L61" s="9">
        <f>+H61+I61+J61+K61</f>
        <v>13047824990.549999</v>
      </c>
      <c r="M61" s="34" t="e">
        <f>+D61/#REF!*100</f>
        <v>#REF!</v>
      </c>
      <c r="P61" s="9">
        <f t="shared" si="18"/>
        <v>0</v>
      </c>
    </row>
    <row r="62" spans="1:16" s="7" customFormat="1" ht="16.5" customHeight="1" x14ac:dyDescent="0.25">
      <c r="A62" s="111">
        <v>48</v>
      </c>
      <c r="B62" s="60" t="s">
        <v>58</v>
      </c>
      <c r="C62" s="157"/>
      <c r="D62" s="57">
        <f>+D64+D66+D67+D68</f>
        <v>13047824990.549999</v>
      </c>
      <c r="E62" s="57">
        <f>+E64+E66+E67+E68</f>
        <v>13171979948.27</v>
      </c>
      <c r="F62" s="57">
        <f>+F64+F66+F67+F68</f>
        <v>-124154957.72000074</v>
      </c>
      <c r="G62" s="108">
        <f>+F62/E62</f>
        <v>-9.4256868145557102E-3</v>
      </c>
      <c r="H62" s="93">
        <v>-26194022.140000001</v>
      </c>
      <c r="I62" s="35">
        <v>353399941.13999999</v>
      </c>
      <c r="J62" s="21">
        <v>-339425027.56</v>
      </c>
      <c r="K62" s="35">
        <f t="shared" si="17"/>
        <v>13060044099.109999</v>
      </c>
      <c r="L62" s="35">
        <f>+H62+I62+J62+K62</f>
        <v>13047824990.549999</v>
      </c>
      <c r="M62" s="71" t="e">
        <f>+D62/#REF!*100</f>
        <v>#REF!</v>
      </c>
      <c r="P62" s="35">
        <f t="shared" si="18"/>
        <v>0</v>
      </c>
    </row>
    <row r="63" spans="1:16" ht="14.25" customHeight="1" x14ac:dyDescent="0.2">
      <c r="A63" s="111"/>
      <c r="B63" s="275" t="s">
        <v>185</v>
      </c>
      <c r="C63" s="275"/>
      <c r="D63" s="206"/>
      <c r="E63" s="57"/>
      <c r="F63" s="57"/>
      <c r="G63" s="108"/>
      <c r="H63" s="20"/>
      <c r="I63" s="9"/>
      <c r="J63" s="20"/>
      <c r="K63" s="9">
        <f t="shared" si="17"/>
        <v>0</v>
      </c>
      <c r="L63" s="9"/>
      <c r="P63" s="9">
        <f t="shared" si="18"/>
        <v>0</v>
      </c>
    </row>
    <row r="64" spans="1:16" ht="14.25" customHeight="1" x14ac:dyDescent="0.2">
      <c r="A64" s="114">
        <v>4802</v>
      </c>
      <c r="B64" s="7" t="s">
        <v>59</v>
      </c>
      <c r="C64" s="105"/>
      <c r="D64" s="223">
        <v>10904314252.98</v>
      </c>
      <c r="E64" s="223">
        <v>11774809858.01</v>
      </c>
      <c r="F64" s="35">
        <f>+D64-E64</f>
        <v>-870495605.03000069</v>
      </c>
      <c r="G64" s="63">
        <f>+F64/E64</f>
        <v>-7.3928633712741637E-2</v>
      </c>
      <c r="H64" s="94">
        <v>3132144.66</v>
      </c>
      <c r="I64" s="9">
        <v>-64640763.659999996</v>
      </c>
      <c r="J64" s="20">
        <v>-5872684.1700000018</v>
      </c>
      <c r="K64" s="9">
        <f t="shared" si="17"/>
        <v>10971695556.15</v>
      </c>
      <c r="L64" s="9">
        <f t="shared" ref="L64:L71" si="20">+H64+I64+J64+K64</f>
        <v>10904314252.98</v>
      </c>
      <c r="M64" s="36">
        <f>+D64/$D$64*100</f>
        <v>100</v>
      </c>
      <c r="P64" s="9">
        <f t="shared" si="18"/>
        <v>0</v>
      </c>
    </row>
    <row r="65" spans="1:22" ht="16.5" customHeight="1" x14ac:dyDescent="0.2">
      <c r="A65" s="116"/>
      <c r="B65" s="275" t="s">
        <v>152</v>
      </c>
      <c r="C65" s="275"/>
      <c r="D65" s="223"/>
      <c r="E65" s="7"/>
      <c r="F65" s="7"/>
      <c r="G65" s="117"/>
      <c r="H65" s="94">
        <v>0</v>
      </c>
      <c r="I65" s="9">
        <v>0</v>
      </c>
      <c r="J65" s="20">
        <v>0</v>
      </c>
      <c r="K65" s="9">
        <f>+D66-H65-I65-J65</f>
        <v>2143510737.5699999</v>
      </c>
      <c r="L65" s="9">
        <f t="shared" si="20"/>
        <v>2143510737.5699999</v>
      </c>
      <c r="M65" s="34">
        <f>+D66/$D$64*100</f>
        <v>19.657455644074158</v>
      </c>
      <c r="P65" s="9">
        <f>+L65-D66</f>
        <v>0</v>
      </c>
    </row>
    <row r="66" spans="1:22" ht="14.25" customHeight="1" x14ac:dyDescent="0.2">
      <c r="A66" s="114">
        <v>4808</v>
      </c>
      <c r="B66" s="7" t="s">
        <v>181</v>
      </c>
      <c r="C66" s="105"/>
      <c r="D66" s="223">
        <v>2143510737.5699999</v>
      </c>
      <c r="E66" s="223">
        <v>1392924953.26</v>
      </c>
      <c r="F66" s="35">
        <f>+D66-E66</f>
        <v>750585784.30999994</v>
      </c>
      <c r="G66" s="63">
        <f>+F66/E66</f>
        <v>0.53885586768571403</v>
      </c>
      <c r="H66" s="94">
        <v>0</v>
      </c>
      <c r="I66" s="9">
        <v>0</v>
      </c>
      <c r="J66" s="20">
        <v>0</v>
      </c>
      <c r="K66" s="9" t="e">
        <f>+#REF!-H66-I66-J66</f>
        <v>#REF!</v>
      </c>
      <c r="L66" s="9" t="e">
        <f t="shared" si="20"/>
        <v>#REF!</v>
      </c>
      <c r="M66" s="34" t="e">
        <f>+#REF!/$D$64*100</f>
        <v>#REF!</v>
      </c>
      <c r="P66" s="9" t="e">
        <f>+L66-#REF!</f>
        <v>#REF!</v>
      </c>
    </row>
    <row r="67" spans="1:22" ht="25.5" x14ac:dyDescent="0.2">
      <c r="A67" s="114">
        <v>4830</v>
      </c>
      <c r="B67" s="158" t="s">
        <v>197</v>
      </c>
      <c r="C67" s="73"/>
      <c r="D67" s="223">
        <v>0</v>
      </c>
      <c r="E67" s="223">
        <v>4245137</v>
      </c>
      <c r="F67" s="35">
        <f>+D67-E67</f>
        <v>-4245137</v>
      </c>
      <c r="G67" s="63">
        <f>+F67/E67</f>
        <v>-1</v>
      </c>
      <c r="H67" s="94"/>
      <c r="I67" s="9"/>
      <c r="J67" s="20"/>
      <c r="K67" s="9"/>
      <c r="L67" s="9"/>
      <c r="M67" s="34"/>
      <c r="P67" s="9"/>
    </row>
    <row r="68" spans="1:22" ht="1.5" customHeight="1" x14ac:dyDescent="0.2">
      <c r="A68" s="114"/>
      <c r="B68" s="158"/>
      <c r="C68" s="73"/>
      <c r="D68" s="223"/>
      <c r="E68" s="216"/>
      <c r="F68" s="35"/>
      <c r="G68" s="63"/>
      <c r="H68" s="94"/>
      <c r="I68" s="9"/>
      <c r="J68" s="20"/>
      <c r="K68" s="9"/>
      <c r="L68" s="9"/>
      <c r="M68" s="34"/>
      <c r="P68" s="9"/>
    </row>
    <row r="69" spans="1:22" ht="15.75" customHeight="1" x14ac:dyDescent="0.25">
      <c r="A69" s="196"/>
      <c r="B69" s="215" t="s">
        <v>99</v>
      </c>
      <c r="C69" s="157"/>
      <c r="D69" s="142">
        <f>+D70</f>
        <v>249930217.72999999</v>
      </c>
      <c r="E69" s="142">
        <f t="shared" ref="E69:F69" si="21">+E70</f>
        <v>291131428.31999999</v>
      </c>
      <c r="F69" s="142">
        <f t="shared" si="21"/>
        <v>-41201210.590000004</v>
      </c>
      <c r="G69" s="143">
        <f>+F69/E69</f>
        <v>-0.14152099904759607</v>
      </c>
      <c r="H69" s="94">
        <v>0</v>
      </c>
      <c r="I69" s="9">
        <v>0</v>
      </c>
      <c r="J69" s="20">
        <v>11494977.5</v>
      </c>
      <c r="K69" s="9">
        <f t="shared" si="17"/>
        <v>238435240.22999999</v>
      </c>
      <c r="L69" s="9">
        <f t="shared" si="20"/>
        <v>249930217.72999999</v>
      </c>
      <c r="M69" s="34">
        <f>+D69/$D$64*100</f>
        <v>2.2920305846990559</v>
      </c>
      <c r="P69" s="9">
        <f t="shared" si="18"/>
        <v>0</v>
      </c>
    </row>
    <row r="70" spans="1:22" ht="15.95" customHeight="1" x14ac:dyDescent="0.25">
      <c r="A70" s="111">
        <v>58</v>
      </c>
      <c r="B70" s="60" t="s">
        <v>60</v>
      </c>
      <c r="C70" s="157"/>
      <c r="D70" s="57">
        <f>SUM(D71:D75)</f>
        <v>249930217.72999999</v>
      </c>
      <c r="E70" s="57">
        <f>SUM(E71:E75)</f>
        <v>291131428.31999999</v>
      </c>
      <c r="F70" s="57">
        <f>SUM(F71:F75)</f>
        <v>-41201210.590000004</v>
      </c>
      <c r="G70" s="108">
        <f>+F70/E70</f>
        <v>-0.14152099904759607</v>
      </c>
      <c r="H70" s="94">
        <v>1582.66</v>
      </c>
      <c r="I70" s="9">
        <v>4312380.34</v>
      </c>
      <c r="J70" s="20">
        <v>8893</v>
      </c>
      <c r="K70" s="9">
        <f t="shared" si="17"/>
        <v>245607361.72999999</v>
      </c>
      <c r="L70" s="9">
        <f t="shared" si="20"/>
        <v>249930217.72999999</v>
      </c>
      <c r="M70" s="34">
        <f>+D70/$D$64*100</f>
        <v>2.2920305846990559</v>
      </c>
      <c r="P70" s="9">
        <f t="shared" si="18"/>
        <v>0</v>
      </c>
    </row>
    <row r="71" spans="1:22" x14ac:dyDescent="0.2">
      <c r="A71" s="114" t="s">
        <v>182</v>
      </c>
      <c r="B71" s="7" t="s">
        <v>61</v>
      </c>
      <c r="C71" s="73"/>
      <c r="D71" s="223">
        <v>20695736.190000001</v>
      </c>
      <c r="E71" s="223">
        <v>14381918.029999999</v>
      </c>
      <c r="F71" s="35">
        <f t="shared" ref="F71:F75" si="22">+D71-E71</f>
        <v>6313818.160000002</v>
      </c>
      <c r="G71" s="63">
        <f t="shared" ref="G71:G75" si="23">+F71/E71</f>
        <v>0.43901085702405457</v>
      </c>
      <c r="H71" s="94">
        <v>3130562</v>
      </c>
      <c r="I71" s="9">
        <v>-80837813</v>
      </c>
      <c r="J71" s="20">
        <v>-17376555.010000005</v>
      </c>
      <c r="K71" s="9" t="e">
        <f>+#REF!-H71-I71-J71</f>
        <v>#REF!</v>
      </c>
      <c r="L71" s="9" t="e">
        <f t="shared" si="20"/>
        <v>#REF!</v>
      </c>
      <c r="M71" s="34" t="e">
        <f>+#REF!/$D$64*100</f>
        <v>#REF!</v>
      </c>
      <c r="P71" s="9" t="e">
        <f>+L71-#REF!</f>
        <v>#REF!</v>
      </c>
      <c r="V71" s="35"/>
    </row>
    <row r="72" spans="1:22" x14ac:dyDescent="0.2">
      <c r="A72" s="114">
        <v>5803</v>
      </c>
      <c r="B72" s="7" t="s">
        <v>223</v>
      </c>
      <c r="C72" s="73"/>
      <c r="D72" s="223">
        <v>24001</v>
      </c>
      <c r="E72" s="223">
        <v>3550518.4</v>
      </c>
      <c r="F72" s="35">
        <f t="shared" si="22"/>
        <v>-3526517.4</v>
      </c>
      <c r="G72" s="63">
        <f t="shared" si="23"/>
        <v>-0.99324014205925537</v>
      </c>
      <c r="H72" s="94"/>
      <c r="I72" s="9"/>
      <c r="J72" s="20"/>
      <c r="K72" s="9"/>
      <c r="L72" s="9"/>
      <c r="M72" s="34"/>
      <c r="P72" s="9"/>
      <c r="V72" s="35"/>
    </row>
    <row r="73" spans="1:22" ht="14.25" customHeight="1" x14ac:dyDescent="0.2">
      <c r="A73" s="114">
        <v>5890</v>
      </c>
      <c r="B73" s="64" t="s">
        <v>183</v>
      </c>
      <c r="C73" s="73"/>
      <c r="D73" s="223">
        <v>103317069.70999999</v>
      </c>
      <c r="E73" s="223">
        <v>128693989.48999999</v>
      </c>
      <c r="F73" s="35">
        <f t="shared" si="22"/>
        <v>-25376919.780000001</v>
      </c>
      <c r="G73" s="63">
        <f t="shared" si="23"/>
        <v>-0.19718807288954146</v>
      </c>
      <c r="H73" s="94">
        <v>7419840197.1899986</v>
      </c>
      <c r="I73" s="9">
        <v>-5445510432.1899986</v>
      </c>
      <c r="J73" s="20">
        <v>411886124.68999863</v>
      </c>
      <c r="K73" s="9">
        <f t="shared" si="17"/>
        <v>-2282898819.9799986</v>
      </c>
      <c r="L73" s="9">
        <f>+H73+I73+J73+K73</f>
        <v>103317069.71000004</v>
      </c>
      <c r="P73" s="9">
        <f t="shared" si="18"/>
        <v>0</v>
      </c>
      <c r="V73" s="35"/>
    </row>
    <row r="74" spans="1:22" ht="14.25" customHeight="1" thickBot="1" x14ac:dyDescent="0.25">
      <c r="A74" s="114">
        <v>5893</v>
      </c>
      <c r="B74" s="64" t="s">
        <v>233</v>
      </c>
      <c r="C74" s="73"/>
      <c r="D74" s="223">
        <v>105000</v>
      </c>
      <c r="E74" s="223">
        <v>0</v>
      </c>
      <c r="F74" s="35">
        <f t="shared" si="22"/>
        <v>105000</v>
      </c>
      <c r="G74" s="63" t="s">
        <v>6</v>
      </c>
      <c r="H74" s="21"/>
      <c r="I74" s="9"/>
      <c r="J74" s="20"/>
      <c r="K74" s="9"/>
      <c r="L74" s="9"/>
      <c r="P74" s="9"/>
      <c r="V74" s="35"/>
    </row>
    <row r="75" spans="1:22" s="15" customFormat="1" ht="26.25" customHeight="1" x14ac:dyDescent="0.2">
      <c r="A75" s="114">
        <v>5895</v>
      </c>
      <c r="B75" s="179" t="s">
        <v>160</v>
      </c>
      <c r="C75" s="73"/>
      <c r="D75" s="223">
        <v>125788410.83</v>
      </c>
      <c r="E75" s="223">
        <v>144505002.40000001</v>
      </c>
      <c r="F75" s="35">
        <f t="shared" si="22"/>
        <v>-18716591.570000008</v>
      </c>
      <c r="G75" s="63">
        <f t="shared" si="23"/>
        <v>-0.12952210137467191</v>
      </c>
      <c r="H75" s="72"/>
      <c r="V75" s="35"/>
    </row>
    <row r="76" spans="1:22" s="7" customFormat="1" ht="20.25" hidden="1" customHeight="1" x14ac:dyDescent="0.2">
      <c r="A76" s="106"/>
      <c r="C76" s="73"/>
      <c r="D76" s="21"/>
      <c r="E76" s="35"/>
      <c r="F76" s="35"/>
      <c r="G76" s="109"/>
      <c r="H76" s="21"/>
      <c r="I76" s="35"/>
    </row>
    <row r="77" spans="1:22" s="7" customFormat="1" ht="27.75" customHeight="1" x14ac:dyDescent="0.25">
      <c r="A77" s="106"/>
      <c r="B77" s="215" t="s">
        <v>188</v>
      </c>
      <c r="C77" s="199"/>
      <c r="D77" s="142">
        <f>+D59+D61-D69</f>
        <v>32062821302.079994</v>
      </c>
      <c r="E77" s="142">
        <f>+E59+E61-E69</f>
        <v>29573136644.640003</v>
      </c>
      <c r="F77" s="142">
        <f>+F59+F61-F69</f>
        <v>2489684657.4399972</v>
      </c>
      <c r="G77" s="143">
        <f>+F77/E77</f>
        <v>8.418737205176513E-2</v>
      </c>
      <c r="H77" s="21"/>
      <c r="V77" s="35"/>
    </row>
    <row r="78" spans="1:22" s="7" customFormat="1" ht="2.25" customHeight="1" x14ac:dyDescent="0.2">
      <c r="A78" s="106"/>
      <c r="B78" s="4"/>
      <c r="C78" s="199"/>
      <c r="D78" s="19"/>
      <c r="E78" s="97"/>
      <c r="F78" s="57"/>
      <c r="G78" s="118"/>
      <c r="H78" s="21"/>
      <c r="I78" s="200" t="s">
        <v>62</v>
      </c>
      <c r="J78" s="205" t="s">
        <v>63</v>
      </c>
    </row>
    <row r="79" spans="1:22" s="7" customFormat="1" ht="50.25" hidden="1" customHeight="1" x14ac:dyDescent="0.2">
      <c r="A79" s="251" t="s">
        <v>242</v>
      </c>
      <c r="B79" s="273"/>
      <c r="C79" s="273"/>
      <c r="D79" s="273"/>
      <c r="E79" s="273"/>
      <c r="F79" s="273"/>
      <c r="G79" s="274"/>
      <c r="H79" s="204"/>
      <c r="I79" s="204"/>
      <c r="J79" s="26">
        <f>+I79/12</f>
        <v>0</v>
      </c>
    </row>
    <row r="80" spans="1:22" s="7" customFormat="1" ht="9.75" hidden="1" customHeight="1" x14ac:dyDescent="0.2">
      <c r="A80" s="106"/>
      <c r="B80" s="4"/>
      <c r="C80" s="199"/>
      <c r="D80" s="19"/>
      <c r="E80" s="19"/>
      <c r="F80" s="19"/>
      <c r="G80" s="63"/>
      <c r="H80" s="204"/>
      <c r="I80" s="204"/>
      <c r="J80" s="26">
        <f t="shared" ref="J80:J87" si="24">+I80/12</f>
        <v>0</v>
      </c>
    </row>
    <row r="81" spans="1:13" s="7" customFormat="1" ht="6.75" hidden="1" customHeight="1" x14ac:dyDescent="0.2">
      <c r="A81" s="106"/>
      <c r="B81" s="4"/>
      <c r="C81" s="199"/>
      <c r="D81" s="19"/>
      <c r="E81" s="19"/>
      <c r="F81" s="19"/>
      <c r="G81" s="63"/>
      <c r="H81" s="204"/>
      <c r="I81" s="204"/>
      <c r="J81" s="26">
        <f t="shared" si="24"/>
        <v>0</v>
      </c>
    </row>
    <row r="82" spans="1:13" s="7" customFormat="1" ht="5.25" hidden="1" customHeight="1" x14ac:dyDescent="0.2">
      <c r="A82" s="106"/>
      <c r="B82" s="4"/>
      <c r="C82" s="164"/>
      <c r="D82" s="19"/>
      <c r="E82" s="16"/>
      <c r="F82" s="17"/>
      <c r="G82" s="119"/>
      <c r="H82" s="102"/>
      <c r="I82" s="102"/>
      <c r="J82" s="26"/>
    </row>
    <row r="83" spans="1:13" s="7" customFormat="1" hidden="1" x14ac:dyDescent="0.2">
      <c r="A83" s="165"/>
      <c r="B83" s="16"/>
      <c r="C83" s="166"/>
      <c r="D83" s="17"/>
      <c r="E83" s="17"/>
      <c r="F83" s="19"/>
      <c r="G83" s="63"/>
      <c r="H83" s="164" t="s">
        <v>64</v>
      </c>
      <c r="I83" s="45" t="e">
        <f>+#REF!</f>
        <v>#REF!</v>
      </c>
      <c r="J83" s="26" t="e">
        <f t="shared" si="24"/>
        <v>#REF!</v>
      </c>
      <c r="K83" s="7" t="e">
        <f>+I83/I81*100</f>
        <v>#REF!</v>
      </c>
    </row>
    <row r="84" spans="1:13" s="7" customFormat="1" ht="17.25" hidden="1" customHeight="1" x14ac:dyDescent="0.2">
      <c r="A84" s="256" t="s">
        <v>224</v>
      </c>
      <c r="B84" s="257"/>
      <c r="C84" s="276" t="s">
        <v>100</v>
      </c>
      <c r="D84" s="276"/>
      <c r="E84" s="167" t="s">
        <v>207</v>
      </c>
      <c r="G84" s="168"/>
      <c r="H84" s="73" t="s">
        <v>65</v>
      </c>
      <c r="I84" s="74">
        <f>+D39</f>
        <v>0</v>
      </c>
      <c r="J84" s="26">
        <f t="shared" si="24"/>
        <v>0</v>
      </c>
    </row>
    <row r="85" spans="1:13" s="7" customFormat="1" hidden="1" x14ac:dyDescent="0.2">
      <c r="A85" s="258" t="s">
        <v>227</v>
      </c>
      <c r="B85" s="254"/>
      <c r="C85" s="257" t="s">
        <v>101</v>
      </c>
      <c r="D85" s="257"/>
      <c r="E85" s="91" t="s">
        <v>29</v>
      </c>
      <c r="G85" s="168"/>
      <c r="H85" s="73" t="s">
        <v>66</v>
      </c>
      <c r="I85" s="74">
        <f>+D64</f>
        <v>10904314252.98</v>
      </c>
      <c r="J85" s="26">
        <f t="shared" si="24"/>
        <v>908692854.41499996</v>
      </c>
    </row>
    <row r="86" spans="1:13" s="7" customFormat="1" hidden="1" x14ac:dyDescent="0.2">
      <c r="A86" s="259" t="s">
        <v>226</v>
      </c>
      <c r="B86" s="260"/>
      <c r="C86" s="263" t="s">
        <v>184</v>
      </c>
      <c r="D86" s="263"/>
      <c r="E86" s="169" t="s">
        <v>148</v>
      </c>
      <c r="G86" s="170"/>
      <c r="H86" s="73"/>
      <c r="I86" s="74"/>
      <c r="J86" s="26"/>
    </row>
    <row r="87" spans="1:13" s="7" customFormat="1" ht="13.5" hidden="1" thickBot="1" x14ac:dyDescent="0.25">
      <c r="A87" s="264"/>
      <c r="B87" s="265"/>
      <c r="C87" s="265"/>
      <c r="D87" s="171"/>
      <c r="E87" s="172" t="s">
        <v>149</v>
      </c>
      <c r="F87" s="173"/>
      <c r="G87" s="174"/>
      <c r="H87" s="164" t="s">
        <v>67</v>
      </c>
      <c r="I87" s="45">
        <f>+I84+I85</f>
        <v>10904314252.98</v>
      </c>
      <c r="J87" s="26">
        <f t="shared" si="24"/>
        <v>908692854.41499996</v>
      </c>
      <c r="K87" s="7" t="e">
        <f>+I87/I81*100</f>
        <v>#DIV/0!</v>
      </c>
    </row>
    <row r="88" spans="1:13" hidden="1" x14ac:dyDescent="0.2">
      <c r="E88" s="18"/>
      <c r="F88" s="18"/>
      <c r="G88" s="41"/>
      <c r="H88" s="20"/>
    </row>
    <row r="89" spans="1:13" hidden="1" x14ac:dyDescent="0.2">
      <c r="D89" s="32">
        <v>2016</v>
      </c>
      <c r="E89" s="32">
        <v>2014</v>
      </c>
      <c r="F89" s="18"/>
      <c r="G89" s="41"/>
      <c r="H89" s="20"/>
    </row>
    <row r="90" spans="1:13" hidden="1" x14ac:dyDescent="0.2">
      <c r="A90" s="90"/>
      <c r="B90" s="28" t="s">
        <v>68</v>
      </c>
      <c r="C90" s="28"/>
      <c r="D90" s="20" t="e">
        <f>+D99/D98*100</f>
        <v>#REF!</v>
      </c>
      <c r="E90" s="20" t="e">
        <f>+E99/E98*100</f>
        <v>#REF!</v>
      </c>
      <c r="G90" s="65" t="e">
        <f>+D90-E90</f>
        <v>#REF!</v>
      </c>
      <c r="H90" s="75" t="s">
        <v>69</v>
      </c>
      <c r="K90" s="247" t="s">
        <v>70</v>
      </c>
      <c r="L90" s="247"/>
      <c r="M90" s="247"/>
    </row>
    <row r="91" spans="1:13" hidden="1" x14ac:dyDescent="0.2">
      <c r="A91" s="90"/>
      <c r="B91" s="28" t="s">
        <v>71</v>
      </c>
      <c r="C91" s="28"/>
      <c r="D91" s="20">
        <f>+D100/D98*100</f>
        <v>5.0716029802593674</v>
      </c>
      <c r="E91" s="20">
        <f>+E100/E98*100</f>
        <v>5.5547815467076056</v>
      </c>
      <c r="G91" s="65">
        <f>+D91-E91</f>
        <v>-0.4831785664482382</v>
      </c>
      <c r="H91" s="75" t="s">
        <v>72</v>
      </c>
      <c r="K91" s="247" t="s">
        <v>73</v>
      </c>
      <c r="L91" s="247"/>
      <c r="M91" s="247"/>
    </row>
    <row r="92" spans="1:13" hidden="1" x14ac:dyDescent="0.2">
      <c r="A92" s="90"/>
      <c r="B92" s="28" t="s">
        <v>74</v>
      </c>
      <c r="C92" s="28"/>
      <c r="D92" s="20">
        <f>+D101/D98*100</f>
        <v>0.21244975196986654</v>
      </c>
      <c r="E92" s="20">
        <f>+E101/E98*100</f>
        <v>0.33097524369956827</v>
      </c>
      <c r="G92" s="65">
        <f>+D92-E92</f>
        <v>-0.11852549172970173</v>
      </c>
      <c r="H92" s="75" t="s">
        <v>75</v>
      </c>
      <c r="K92" s="247" t="s">
        <v>76</v>
      </c>
      <c r="L92" s="247"/>
      <c r="M92" s="247"/>
    </row>
    <row r="93" spans="1:13" hidden="1" x14ac:dyDescent="0.2">
      <c r="A93" s="90"/>
      <c r="B93" s="28" t="s">
        <v>77</v>
      </c>
      <c r="C93" s="28"/>
      <c r="D93" s="9">
        <f>+D100+D45</f>
        <v>5488705778.9300003</v>
      </c>
      <c r="E93" s="9">
        <f>+E100+E45</f>
        <v>4696216332.9200001</v>
      </c>
      <c r="H93" s="75" t="s">
        <v>78</v>
      </c>
      <c r="K93" s="247" t="s">
        <v>79</v>
      </c>
      <c r="L93" s="247"/>
      <c r="M93" s="247"/>
    </row>
    <row r="94" spans="1:13" hidden="1" x14ac:dyDescent="0.2">
      <c r="A94" s="90"/>
      <c r="B94" s="28" t="s">
        <v>80</v>
      </c>
      <c r="C94" s="28"/>
      <c r="D94" s="9">
        <f>+D101+D45</f>
        <v>3125636544.1399999</v>
      </c>
      <c r="E94" s="9">
        <f>+E101+E45</f>
        <v>2665029752.4899998</v>
      </c>
      <c r="H94" s="75" t="s">
        <v>81</v>
      </c>
      <c r="K94" s="247" t="s">
        <v>82</v>
      </c>
      <c r="L94" s="247"/>
      <c r="M94" s="247"/>
    </row>
    <row r="95" spans="1:13" hidden="1" x14ac:dyDescent="0.2">
      <c r="A95" s="90"/>
      <c r="B95" s="28" t="s">
        <v>83</v>
      </c>
      <c r="C95" s="28"/>
      <c r="D95" s="20" t="e">
        <f>+D101/D103*100</f>
        <v>#REF!</v>
      </c>
      <c r="E95" s="20" t="e">
        <f>+E101/E103*100</f>
        <v>#REF!</v>
      </c>
      <c r="H95" s="75" t="s">
        <v>84</v>
      </c>
      <c r="K95" s="247" t="s">
        <v>85</v>
      </c>
      <c r="L95" s="247"/>
      <c r="M95" s="247"/>
    </row>
    <row r="96" spans="1:13" hidden="1" x14ac:dyDescent="0.2">
      <c r="B96" s="28" t="s">
        <v>86</v>
      </c>
      <c r="C96" s="28"/>
      <c r="D96" s="20" t="e">
        <f>(+D101/D104)*100</f>
        <v>#REF!</v>
      </c>
      <c r="E96" s="20" t="e">
        <f>(+E101/E104)*100</f>
        <v>#REF!</v>
      </c>
      <c r="H96" s="75" t="s">
        <v>87</v>
      </c>
      <c r="K96" s="247" t="s">
        <v>88</v>
      </c>
      <c r="L96" s="247"/>
      <c r="M96" s="247"/>
    </row>
    <row r="97" spans="2:8" hidden="1" x14ac:dyDescent="0.2">
      <c r="B97" s="28"/>
      <c r="C97" s="28"/>
      <c r="D97" s="9"/>
      <c r="E97" s="9"/>
      <c r="F97" s="21"/>
      <c r="G97" s="41"/>
      <c r="H97" s="21"/>
    </row>
    <row r="98" spans="2:8" hidden="1" x14ac:dyDescent="0.2">
      <c r="B98" s="28" t="s">
        <v>89</v>
      </c>
      <c r="C98" s="28"/>
      <c r="D98" s="9">
        <f>+D14+D18+D24</f>
        <v>48631296931.169998</v>
      </c>
      <c r="E98" s="9">
        <f>+E14+E18+E24</f>
        <v>38883267537.32</v>
      </c>
      <c r="F98" s="21"/>
      <c r="G98" s="41"/>
      <c r="H98" s="75" t="s">
        <v>90</v>
      </c>
    </row>
    <row r="99" spans="2:8" hidden="1" x14ac:dyDescent="0.2">
      <c r="B99" s="28" t="s">
        <v>91</v>
      </c>
      <c r="C99" s="28"/>
      <c r="D99" s="9" t="e">
        <f>+D14+D22+D26-#REF!</f>
        <v>#REF!</v>
      </c>
      <c r="E99" s="9" t="e">
        <f>+E14+E22+E26-#REF!</f>
        <v>#REF!</v>
      </c>
      <c r="F99" s="21"/>
      <c r="G99" s="41"/>
      <c r="H99" s="75" t="s">
        <v>92</v>
      </c>
    </row>
    <row r="100" spans="2:8" hidden="1" x14ac:dyDescent="0.2">
      <c r="B100" s="28" t="s">
        <v>93</v>
      </c>
      <c r="C100" s="28"/>
      <c r="D100" s="9">
        <f>+D50</f>
        <v>2466386304.5</v>
      </c>
      <c r="E100" s="9">
        <f>+E50</f>
        <v>2159880569.9200001</v>
      </c>
      <c r="F100" s="21"/>
      <c r="G100" s="41"/>
      <c r="H100" s="75" t="s">
        <v>94</v>
      </c>
    </row>
    <row r="101" spans="2:8" hidden="1" x14ac:dyDescent="0.2">
      <c r="B101" s="28" t="s">
        <v>95</v>
      </c>
      <c r="C101" s="28"/>
      <c r="D101" s="9">
        <f>+D73</f>
        <v>103317069.70999999</v>
      </c>
      <c r="E101" s="9">
        <f>+E73</f>
        <v>128693989.48999999</v>
      </c>
      <c r="F101" s="21"/>
      <c r="G101" s="41"/>
      <c r="H101" s="75" t="s">
        <v>96</v>
      </c>
    </row>
    <row r="102" spans="2:8" hidden="1" x14ac:dyDescent="0.2">
      <c r="B102" s="28"/>
      <c r="C102" s="28"/>
      <c r="D102" s="21"/>
      <c r="E102" s="21"/>
      <c r="F102" s="21"/>
      <c r="G102" s="41"/>
      <c r="H102" s="20"/>
    </row>
    <row r="103" spans="2:8" hidden="1" x14ac:dyDescent="0.2">
      <c r="B103" s="28" t="s">
        <v>97</v>
      </c>
      <c r="C103" s="28"/>
      <c r="D103" s="20" t="e">
        <f>+#REF!</f>
        <v>#REF!</v>
      </c>
      <c r="E103" s="18" t="e">
        <f>+#REF!</f>
        <v>#REF!</v>
      </c>
      <c r="F103" s="18"/>
      <c r="G103" s="41"/>
      <c r="H103" s="20"/>
    </row>
    <row r="104" spans="2:8" hidden="1" x14ac:dyDescent="0.2">
      <c r="B104" s="28" t="s">
        <v>15</v>
      </c>
      <c r="C104" s="28"/>
      <c r="D104" s="20" t="e">
        <f>+#REF!</f>
        <v>#REF!</v>
      </c>
      <c r="E104" s="18" t="e">
        <f>+#REF!</f>
        <v>#REF!</v>
      </c>
      <c r="F104" s="18"/>
      <c r="G104" s="41"/>
      <c r="H104" s="20"/>
    </row>
    <row r="105" spans="2:8" hidden="1" x14ac:dyDescent="0.2">
      <c r="B105" s="161"/>
      <c r="C105" s="161"/>
      <c r="E105" s="18"/>
      <c r="F105" s="18"/>
      <c r="G105" s="41"/>
      <c r="H105" s="20"/>
    </row>
    <row r="106" spans="2:8" hidden="1" x14ac:dyDescent="0.2">
      <c r="B106" s="38"/>
      <c r="C106" s="38"/>
      <c r="E106" s="18"/>
      <c r="F106" s="18"/>
      <c r="G106" s="41" t="e">
        <f>+D90-E90</f>
        <v>#REF!</v>
      </c>
      <c r="H106" s="20" t="e">
        <f>+G106/E90</f>
        <v>#REF!</v>
      </c>
    </row>
    <row r="107" spans="2:8" hidden="1" x14ac:dyDescent="0.2">
      <c r="B107" s="164"/>
      <c r="C107" s="164"/>
      <c r="E107" s="18"/>
      <c r="F107" s="18"/>
      <c r="G107" s="41">
        <f>+D91-E91</f>
        <v>-0.4831785664482382</v>
      </c>
      <c r="H107" s="20">
        <f>+G107/E91</f>
        <v>-8.6984260746423903E-2</v>
      </c>
    </row>
    <row r="108" spans="2:8" hidden="1" x14ac:dyDescent="0.2">
      <c r="D108" s="20">
        <f>+D10+D63</f>
        <v>138984488249.37</v>
      </c>
      <c r="E108" s="20">
        <f>+E10+E63</f>
        <v>118834608452.32001</v>
      </c>
      <c r="F108" s="35">
        <f>+D108-E108</f>
        <v>20149879797.049988</v>
      </c>
      <c r="G108" s="63">
        <f>+F108/E108</f>
        <v>0.16956238640812049</v>
      </c>
      <c r="H108" s="20"/>
    </row>
    <row r="109" spans="2:8" hidden="1" x14ac:dyDescent="0.2">
      <c r="E109" s="18"/>
      <c r="F109" s="18"/>
      <c r="G109" s="41"/>
      <c r="H109" s="20"/>
    </row>
    <row r="110" spans="2:8" hidden="1" x14ac:dyDescent="0.2">
      <c r="E110" s="18"/>
      <c r="F110" s="18"/>
      <c r="G110" s="41"/>
      <c r="H110" s="20"/>
    </row>
    <row r="111" spans="2:8" hidden="1" x14ac:dyDescent="0.2">
      <c r="E111" s="18"/>
      <c r="F111" s="18"/>
      <c r="G111" s="41"/>
      <c r="H111" s="20"/>
    </row>
    <row r="112" spans="2:8" hidden="1" x14ac:dyDescent="0.2">
      <c r="E112" s="18"/>
      <c r="F112" s="18"/>
      <c r="G112" s="41"/>
      <c r="H112" s="20"/>
    </row>
    <row r="113" spans="1:16" hidden="1" x14ac:dyDescent="0.2">
      <c r="D113" s="20">
        <f>+D40+D70</f>
        <v>38311707605.350006</v>
      </c>
      <c r="E113" s="20">
        <f>+E40+E70</f>
        <v>31389256332.019997</v>
      </c>
      <c r="F113" s="35">
        <f t="shared" ref="F113" si="25">+D113-E113</f>
        <v>6922451273.3300095</v>
      </c>
      <c r="G113" s="63">
        <f t="shared" ref="G113" si="26">+F113/E113</f>
        <v>0.22053568903027682</v>
      </c>
      <c r="H113" s="20"/>
    </row>
    <row r="114" spans="1:16" s="27" customFormat="1" hidden="1" x14ac:dyDescent="0.2">
      <c r="A114" s="8"/>
      <c r="B114" s="3"/>
      <c r="C114" s="8"/>
      <c r="D114" s="20"/>
      <c r="E114" s="18"/>
      <c r="F114" s="18"/>
      <c r="G114" s="41"/>
      <c r="H114" s="20"/>
      <c r="I114" s="3"/>
      <c r="J114" s="3"/>
      <c r="K114" s="3"/>
      <c r="L114" s="3"/>
      <c r="M114" s="3"/>
      <c r="N114" s="3"/>
      <c r="O114" s="3"/>
      <c r="P114" s="3"/>
    </row>
    <row r="115" spans="1:16" s="27" customFormat="1" hidden="1" x14ac:dyDescent="0.2">
      <c r="A115" s="8"/>
      <c r="B115" s="3"/>
      <c r="C115" s="8"/>
      <c r="D115" s="20"/>
      <c r="E115" s="18"/>
      <c r="F115" s="18"/>
      <c r="G115" s="41"/>
      <c r="H115" s="20"/>
      <c r="I115" s="3"/>
      <c r="J115" s="3"/>
      <c r="K115" s="3"/>
      <c r="L115" s="3"/>
      <c r="M115" s="3"/>
      <c r="N115" s="3"/>
      <c r="O115" s="3"/>
      <c r="P115" s="3"/>
    </row>
    <row r="116" spans="1:16" s="27" customFormat="1" hidden="1" x14ac:dyDescent="0.2">
      <c r="A116" s="8"/>
      <c r="B116" s="3"/>
      <c r="C116" s="8"/>
      <c r="D116" s="20"/>
      <c r="E116" s="18"/>
      <c r="F116" s="18"/>
      <c r="G116" s="41"/>
      <c r="H116" s="20"/>
      <c r="I116" s="3"/>
      <c r="J116" s="3"/>
      <c r="K116" s="3"/>
      <c r="L116" s="3"/>
      <c r="M116" s="3"/>
      <c r="N116" s="3"/>
      <c r="O116" s="3"/>
      <c r="P116" s="3"/>
    </row>
    <row r="117" spans="1:16" s="27" customFormat="1" hidden="1" x14ac:dyDescent="0.2">
      <c r="A117" s="8"/>
      <c r="B117" s="3"/>
      <c r="C117" s="8"/>
      <c r="D117" s="20"/>
      <c r="E117" s="18"/>
      <c r="F117" s="18"/>
      <c r="G117" s="41"/>
      <c r="H117" s="20"/>
      <c r="I117" s="3"/>
      <c r="J117" s="3"/>
      <c r="K117" s="3"/>
      <c r="L117" s="3"/>
      <c r="M117" s="3"/>
      <c r="N117" s="3"/>
      <c r="O117" s="3"/>
      <c r="P117" s="3"/>
    </row>
    <row r="118" spans="1:16" s="27" customFormat="1" hidden="1" x14ac:dyDescent="0.2">
      <c r="A118" s="8"/>
      <c r="B118" s="3"/>
      <c r="C118" s="8"/>
      <c r="D118" s="20"/>
      <c r="E118" s="18"/>
      <c r="F118" s="18"/>
      <c r="G118" s="41"/>
      <c r="H118" s="20"/>
      <c r="I118" s="3"/>
      <c r="J118" s="3"/>
      <c r="K118" s="3"/>
      <c r="L118" s="3"/>
      <c r="M118" s="3"/>
      <c r="N118" s="3"/>
      <c r="O118" s="3"/>
      <c r="P118" s="3"/>
    </row>
    <row r="119" spans="1:16" s="27" customFormat="1" hidden="1" x14ac:dyDescent="0.2">
      <c r="A119" s="8"/>
      <c r="B119" s="3"/>
      <c r="C119" s="8"/>
      <c r="D119" s="20"/>
      <c r="E119" s="18"/>
      <c r="F119" s="18"/>
      <c r="G119" s="41"/>
      <c r="H119" s="20"/>
      <c r="I119" s="3"/>
      <c r="J119" s="3"/>
      <c r="K119" s="3"/>
      <c r="L119" s="3"/>
      <c r="M119" s="3"/>
      <c r="N119" s="3"/>
      <c r="O119" s="3"/>
      <c r="P119" s="3"/>
    </row>
    <row r="120" spans="1:16" s="27" customFormat="1" hidden="1" x14ac:dyDescent="0.2">
      <c r="A120" s="8"/>
      <c r="B120" s="3"/>
      <c r="C120" s="8"/>
      <c r="D120" s="20"/>
      <c r="E120" s="18"/>
      <c r="F120" s="18"/>
      <c r="G120" s="41"/>
      <c r="H120" s="20"/>
      <c r="I120" s="3"/>
      <c r="J120" s="3"/>
      <c r="K120" s="3"/>
      <c r="L120" s="3"/>
      <c r="M120" s="3"/>
      <c r="N120" s="3"/>
      <c r="O120" s="3"/>
      <c r="P120" s="3"/>
    </row>
    <row r="121" spans="1:16" s="27" customFormat="1" hidden="1" x14ac:dyDescent="0.2">
      <c r="A121" s="8"/>
      <c r="B121" s="3"/>
      <c r="C121" s="8"/>
      <c r="D121" s="20"/>
      <c r="E121" s="18"/>
      <c r="F121" s="18"/>
      <c r="G121" s="41"/>
      <c r="H121" s="20"/>
      <c r="I121" s="3"/>
      <c r="J121" s="3"/>
      <c r="K121" s="3"/>
      <c r="L121" s="3"/>
      <c r="M121" s="3"/>
      <c r="N121" s="3"/>
      <c r="O121" s="3"/>
      <c r="P121" s="3"/>
    </row>
    <row r="122" spans="1:16" s="27" customFormat="1" hidden="1" x14ac:dyDescent="0.2">
      <c r="A122" s="8"/>
      <c r="B122" s="3"/>
      <c r="C122" s="8"/>
      <c r="D122" s="20"/>
      <c r="E122" s="18"/>
      <c r="F122" s="18"/>
      <c r="G122" s="41"/>
      <c r="H122" s="20"/>
      <c r="I122" s="3"/>
      <c r="J122" s="3"/>
      <c r="K122" s="3"/>
      <c r="L122" s="3"/>
      <c r="M122" s="3"/>
      <c r="N122" s="3"/>
      <c r="O122" s="3"/>
      <c r="P122" s="3"/>
    </row>
    <row r="123" spans="1:16" s="27" customFormat="1" hidden="1" x14ac:dyDescent="0.2">
      <c r="A123" s="8"/>
      <c r="B123" s="3"/>
      <c r="C123" s="8"/>
      <c r="D123" s="20"/>
      <c r="E123" s="18"/>
      <c r="F123" s="18"/>
      <c r="G123" s="41"/>
      <c r="H123" s="20"/>
      <c r="I123" s="3"/>
      <c r="J123" s="3"/>
      <c r="K123" s="3"/>
      <c r="L123" s="3"/>
      <c r="M123" s="3"/>
      <c r="N123" s="3"/>
      <c r="O123" s="3"/>
      <c r="P123" s="3"/>
    </row>
    <row r="124" spans="1:16" s="27" customFormat="1" hidden="1" x14ac:dyDescent="0.2">
      <c r="A124" s="8"/>
      <c r="B124" s="3"/>
      <c r="C124" s="8"/>
      <c r="D124" s="20"/>
      <c r="E124" s="18"/>
      <c r="F124" s="18"/>
      <c r="G124" s="41"/>
      <c r="H124" s="20"/>
      <c r="I124" s="3"/>
      <c r="J124" s="3"/>
      <c r="K124" s="3"/>
      <c r="L124" s="3"/>
      <c r="M124" s="3"/>
      <c r="N124" s="3"/>
      <c r="O124" s="3"/>
      <c r="P124" s="3"/>
    </row>
    <row r="125" spans="1:16" s="27" customFormat="1" hidden="1" x14ac:dyDescent="0.2">
      <c r="A125" s="8"/>
      <c r="B125" s="3"/>
      <c r="C125" s="8"/>
      <c r="D125" s="20"/>
      <c r="E125" s="18"/>
      <c r="F125" s="18"/>
      <c r="G125" s="41"/>
      <c r="H125" s="20"/>
      <c r="I125" s="3"/>
      <c r="J125" s="3"/>
      <c r="K125" s="3"/>
      <c r="L125" s="3"/>
      <c r="M125" s="3"/>
      <c r="N125" s="3"/>
      <c r="O125" s="3"/>
      <c r="P125" s="3"/>
    </row>
    <row r="126" spans="1:16" s="27" customFormat="1" hidden="1" x14ac:dyDescent="0.2">
      <c r="A126" s="8"/>
      <c r="B126" s="3"/>
      <c r="C126" s="8"/>
      <c r="D126" s="20"/>
      <c r="E126" s="18"/>
      <c r="F126" s="18"/>
      <c r="G126" s="41"/>
      <c r="H126" s="20"/>
      <c r="I126" s="3"/>
      <c r="J126" s="3"/>
      <c r="K126" s="3"/>
      <c r="L126" s="3"/>
      <c r="M126" s="3"/>
      <c r="N126" s="3"/>
      <c r="O126" s="3"/>
      <c r="P126" s="3"/>
    </row>
    <row r="127" spans="1:16" s="27" customFormat="1" hidden="1" x14ac:dyDescent="0.2">
      <c r="A127" s="8"/>
      <c r="B127" s="3"/>
      <c r="C127" s="8"/>
      <c r="D127" s="20"/>
      <c r="E127" s="18"/>
      <c r="F127" s="18"/>
      <c r="G127" s="41"/>
      <c r="H127" s="20"/>
      <c r="I127" s="3"/>
      <c r="J127" s="3"/>
      <c r="K127" s="3"/>
      <c r="L127" s="3"/>
      <c r="M127" s="3"/>
      <c r="N127" s="3"/>
      <c r="O127" s="3"/>
      <c r="P127" s="3"/>
    </row>
    <row r="128" spans="1:16" s="27" customFormat="1" hidden="1" x14ac:dyDescent="0.2">
      <c r="A128" s="8"/>
      <c r="B128" s="3"/>
      <c r="C128" s="8"/>
      <c r="D128" s="20"/>
      <c r="E128" s="18"/>
      <c r="F128" s="18"/>
      <c r="G128" s="41"/>
      <c r="H128" s="20"/>
      <c r="I128" s="3"/>
      <c r="J128" s="3"/>
      <c r="K128" s="3"/>
      <c r="L128" s="3"/>
      <c r="M128" s="3"/>
      <c r="N128" s="3"/>
      <c r="O128" s="3"/>
      <c r="P128" s="3"/>
    </row>
    <row r="129" spans="1:16" s="27" customFormat="1" hidden="1" x14ac:dyDescent="0.2">
      <c r="A129" s="8"/>
      <c r="B129" s="3"/>
      <c r="C129" s="8"/>
      <c r="D129" s="20"/>
      <c r="E129" s="18"/>
      <c r="F129" s="18"/>
      <c r="G129" s="41"/>
      <c r="H129" s="20"/>
      <c r="I129" s="3"/>
      <c r="J129" s="3"/>
      <c r="K129" s="3"/>
      <c r="L129" s="3"/>
      <c r="M129" s="3"/>
      <c r="N129" s="3"/>
      <c r="O129" s="3"/>
      <c r="P129" s="3"/>
    </row>
    <row r="130" spans="1:16" s="27" customFormat="1" hidden="1" x14ac:dyDescent="0.2">
      <c r="A130" s="8"/>
      <c r="B130" s="3"/>
      <c r="C130" s="8"/>
      <c r="D130" s="20"/>
      <c r="E130" s="18"/>
      <c r="F130" s="18"/>
      <c r="G130" s="41"/>
      <c r="H130" s="20"/>
      <c r="I130" s="3"/>
      <c r="J130" s="3"/>
      <c r="K130" s="3"/>
      <c r="L130" s="3"/>
      <c r="M130" s="3"/>
      <c r="N130" s="3"/>
      <c r="O130" s="3"/>
      <c r="P130" s="3"/>
    </row>
    <row r="131" spans="1:16" s="27" customFormat="1" hidden="1" x14ac:dyDescent="0.2">
      <c r="A131" s="8"/>
      <c r="B131" s="3"/>
      <c r="C131" s="8"/>
      <c r="D131" s="20"/>
      <c r="E131" s="18"/>
      <c r="F131" s="18"/>
      <c r="G131" s="41"/>
      <c r="H131" s="20"/>
      <c r="I131" s="3"/>
      <c r="J131" s="3"/>
      <c r="K131" s="3"/>
      <c r="L131" s="3"/>
      <c r="M131" s="3"/>
      <c r="N131" s="3"/>
      <c r="O131" s="3"/>
      <c r="P131" s="3"/>
    </row>
    <row r="132" spans="1:16" s="27" customFormat="1" hidden="1" x14ac:dyDescent="0.2">
      <c r="A132" s="8"/>
      <c r="B132" s="3"/>
      <c r="C132" s="8"/>
      <c r="D132" s="20"/>
      <c r="E132" s="18"/>
      <c r="F132" s="18"/>
      <c r="G132" s="41"/>
      <c r="H132" s="20"/>
      <c r="I132" s="3"/>
      <c r="J132" s="3"/>
      <c r="K132" s="3"/>
      <c r="L132" s="3"/>
      <c r="M132" s="3"/>
      <c r="N132" s="3"/>
      <c r="O132" s="3"/>
      <c r="P132" s="3"/>
    </row>
    <row r="133" spans="1:16" s="27" customFormat="1" hidden="1" x14ac:dyDescent="0.2">
      <c r="A133" s="8"/>
      <c r="B133" s="3"/>
      <c r="C133" s="8"/>
      <c r="D133" s="20"/>
      <c r="E133" s="18"/>
      <c r="F133" s="18"/>
      <c r="G133" s="41"/>
      <c r="H133" s="20"/>
      <c r="I133" s="3"/>
      <c r="J133" s="3"/>
      <c r="K133" s="3"/>
      <c r="L133" s="3"/>
      <c r="M133" s="3"/>
      <c r="N133" s="3"/>
      <c r="O133" s="3"/>
      <c r="P133" s="3"/>
    </row>
    <row r="134" spans="1:16" s="27" customFormat="1" hidden="1" x14ac:dyDescent="0.2">
      <c r="A134" s="8"/>
      <c r="B134" s="3"/>
      <c r="C134" s="8"/>
      <c r="D134" s="20"/>
      <c r="E134" s="18"/>
      <c r="F134" s="18"/>
      <c r="G134" s="41"/>
      <c r="H134" s="20"/>
      <c r="I134" s="3"/>
      <c r="J134" s="3"/>
      <c r="K134" s="3"/>
      <c r="L134" s="3"/>
      <c r="M134" s="3"/>
      <c r="N134" s="3"/>
      <c r="O134" s="3"/>
      <c r="P134" s="3"/>
    </row>
    <row r="135" spans="1:16" s="27" customFormat="1" hidden="1" x14ac:dyDescent="0.2">
      <c r="A135" s="8"/>
      <c r="B135" s="3"/>
      <c r="C135" s="8"/>
      <c r="D135" s="20"/>
      <c r="E135" s="18"/>
      <c r="F135" s="18"/>
      <c r="G135" s="41"/>
      <c r="H135" s="20"/>
      <c r="I135" s="3"/>
      <c r="J135" s="3"/>
      <c r="K135" s="3"/>
      <c r="L135" s="3"/>
      <c r="M135" s="3"/>
      <c r="N135" s="3"/>
      <c r="O135" s="3"/>
      <c r="P135" s="3"/>
    </row>
    <row r="136" spans="1:16" s="27" customFormat="1" hidden="1" x14ac:dyDescent="0.2">
      <c r="A136" s="8"/>
      <c r="B136" s="3"/>
      <c r="C136" s="8"/>
      <c r="D136" s="20"/>
      <c r="E136" s="18"/>
      <c r="F136" s="18"/>
      <c r="G136" s="41"/>
      <c r="H136" s="20"/>
      <c r="I136" s="3"/>
      <c r="J136" s="3"/>
      <c r="K136" s="3"/>
      <c r="L136" s="3"/>
      <c r="M136" s="3"/>
      <c r="N136" s="3"/>
      <c r="O136" s="3"/>
      <c r="P136" s="3"/>
    </row>
    <row r="137" spans="1:16" s="27" customFormat="1" hidden="1" x14ac:dyDescent="0.2">
      <c r="A137" s="8"/>
      <c r="B137" s="3"/>
      <c r="C137" s="8"/>
      <c r="D137" s="20"/>
      <c r="E137" s="18"/>
      <c r="F137" s="18"/>
      <c r="G137" s="41"/>
      <c r="H137" s="20"/>
      <c r="I137" s="3"/>
      <c r="J137" s="3"/>
      <c r="K137" s="3"/>
      <c r="L137" s="3"/>
      <c r="M137" s="3"/>
      <c r="N137" s="3"/>
      <c r="O137" s="3"/>
      <c r="P137" s="3"/>
    </row>
    <row r="138" spans="1:16" s="27" customFormat="1" hidden="1" x14ac:dyDescent="0.2">
      <c r="A138" s="8"/>
      <c r="B138" s="3"/>
      <c r="C138" s="8"/>
      <c r="D138" s="20"/>
      <c r="E138" s="18"/>
      <c r="F138" s="18"/>
      <c r="G138" s="41"/>
      <c r="H138" s="20"/>
      <c r="I138" s="3"/>
      <c r="J138" s="3"/>
      <c r="K138" s="3"/>
      <c r="L138" s="3"/>
      <c r="M138" s="3"/>
      <c r="N138" s="3"/>
      <c r="O138" s="3"/>
      <c r="P138" s="3"/>
    </row>
    <row r="139" spans="1:16" s="27" customFormat="1" hidden="1" x14ac:dyDescent="0.2">
      <c r="A139" s="8"/>
      <c r="B139" s="3"/>
      <c r="C139" s="8"/>
      <c r="D139" s="20"/>
      <c r="E139" s="18"/>
      <c r="F139" s="18"/>
      <c r="G139" s="41"/>
      <c r="H139" s="20"/>
      <c r="I139" s="3"/>
      <c r="J139" s="3"/>
      <c r="K139" s="3"/>
      <c r="L139" s="3"/>
      <c r="M139" s="3"/>
      <c r="N139" s="3"/>
      <c r="O139" s="3"/>
      <c r="P139" s="3"/>
    </row>
    <row r="140" spans="1:16" s="27" customFormat="1" hidden="1" x14ac:dyDescent="0.2">
      <c r="A140" s="8"/>
      <c r="B140" s="3"/>
      <c r="C140" s="8"/>
      <c r="D140" s="20"/>
      <c r="E140" s="18"/>
      <c r="F140" s="18"/>
      <c r="G140" s="41"/>
      <c r="H140" s="20"/>
      <c r="I140" s="3"/>
      <c r="J140" s="3"/>
      <c r="K140" s="3"/>
      <c r="L140" s="3"/>
      <c r="M140" s="3"/>
      <c r="N140" s="3"/>
      <c r="O140" s="3"/>
      <c r="P140" s="3"/>
    </row>
    <row r="141" spans="1:16" s="27" customFormat="1" hidden="1" x14ac:dyDescent="0.2">
      <c r="A141" s="8"/>
      <c r="B141" s="3"/>
      <c r="C141" s="8"/>
      <c r="D141" s="20"/>
      <c r="E141" s="18"/>
      <c r="F141" s="18"/>
      <c r="G141" s="41"/>
      <c r="H141" s="20"/>
      <c r="I141" s="3"/>
      <c r="J141" s="3"/>
      <c r="K141" s="3"/>
      <c r="L141" s="3"/>
      <c r="M141" s="3"/>
      <c r="N141" s="3"/>
      <c r="O141" s="3"/>
      <c r="P141" s="3"/>
    </row>
    <row r="142" spans="1:16" s="27" customFormat="1" hidden="1" x14ac:dyDescent="0.2">
      <c r="A142" s="8"/>
      <c r="B142" s="3"/>
      <c r="C142" s="8"/>
      <c r="D142" s="20"/>
      <c r="E142" s="18"/>
      <c r="F142" s="18"/>
      <c r="G142" s="41"/>
      <c r="H142" s="20"/>
      <c r="I142" s="3"/>
      <c r="J142" s="3"/>
      <c r="K142" s="3"/>
      <c r="L142" s="3"/>
      <c r="M142" s="3"/>
      <c r="N142" s="3"/>
      <c r="O142" s="3"/>
      <c r="P142" s="3"/>
    </row>
    <row r="143" spans="1:16" s="27" customFormat="1" hidden="1" x14ac:dyDescent="0.2">
      <c r="A143" s="8"/>
      <c r="B143" s="3"/>
      <c r="C143" s="8"/>
      <c r="D143" s="20"/>
      <c r="E143" s="18"/>
      <c r="F143" s="18"/>
      <c r="G143" s="41"/>
      <c r="H143" s="20"/>
      <c r="I143" s="3"/>
      <c r="J143" s="3"/>
      <c r="K143" s="3"/>
      <c r="L143" s="3"/>
      <c r="M143" s="3"/>
      <c r="N143" s="3"/>
      <c r="O143" s="3"/>
      <c r="P143" s="3"/>
    </row>
    <row r="144" spans="1:16" s="27" customFormat="1" hidden="1" x14ac:dyDescent="0.2">
      <c r="A144" s="8"/>
      <c r="B144" s="3"/>
      <c r="C144" s="8"/>
      <c r="D144" s="20"/>
      <c r="E144" s="18"/>
      <c r="F144" s="18"/>
      <c r="G144" s="41"/>
      <c r="H144" s="20"/>
      <c r="I144" s="3"/>
      <c r="J144" s="3"/>
      <c r="K144" s="3"/>
      <c r="L144" s="3"/>
      <c r="M144" s="3"/>
      <c r="N144" s="3"/>
      <c r="O144" s="3"/>
      <c r="P144" s="3"/>
    </row>
    <row r="145" spans="1:16" s="27" customFormat="1" hidden="1" x14ac:dyDescent="0.2">
      <c r="A145" s="8"/>
      <c r="B145" s="3"/>
      <c r="C145" s="8"/>
      <c r="D145" s="20"/>
      <c r="E145" s="18"/>
      <c r="F145" s="18"/>
      <c r="G145" s="41"/>
      <c r="H145" s="20"/>
      <c r="I145" s="3"/>
      <c r="J145" s="3"/>
      <c r="K145" s="3"/>
      <c r="L145" s="3"/>
      <c r="M145" s="3"/>
      <c r="N145" s="3"/>
      <c r="O145" s="3"/>
      <c r="P145" s="3"/>
    </row>
    <row r="146" spans="1:16" s="27" customFormat="1" hidden="1" x14ac:dyDescent="0.2">
      <c r="A146" s="8"/>
      <c r="B146" s="3"/>
      <c r="C146" s="8"/>
      <c r="D146" s="20"/>
      <c r="E146" s="18"/>
      <c r="F146" s="18"/>
      <c r="G146" s="41"/>
      <c r="H146" s="20"/>
      <c r="I146" s="3"/>
      <c r="J146" s="3"/>
      <c r="K146" s="3"/>
      <c r="L146" s="3"/>
      <c r="M146" s="3"/>
      <c r="N146" s="3"/>
      <c r="O146" s="3"/>
      <c r="P146" s="3"/>
    </row>
    <row r="147" spans="1:16" s="27" customFormat="1" hidden="1" x14ac:dyDescent="0.2">
      <c r="A147" s="8"/>
      <c r="B147" s="3"/>
      <c r="C147" s="8"/>
      <c r="D147" s="20"/>
      <c r="E147" s="18"/>
      <c r="F147" s="18"/>
      <c r="G147" s="41"/>
      <c r="H147" s="20"/>
      <c r="I147" s="3"/>
      <c r="J147" s="3"/>
      <c r="K147" s="3"/>
      <c r="L147" s="3"/>
      <c r="M147" s="3"/>
      <c r="N147" s="3"/>
      <c r="O147" s="3"/>
      <c r="P147" s="3"/>
    </row>
    <row r="148" spans="1:16" s="27" customFormat="1" hidden="1" x14ac:dyDescent="0.2">
      <c r="A148" s="8"/>
      <c r="B148" s="3"/>
      <c r="C148" s="8"/>
      <c r="D148" s="20"/>
      <c r="E148" s="18"/>
      <c r="F148" s="18"/>
      <c r="G148" s="41"/>
      <c r="H148" s="20"/>
      <c r="I148" s="3"/>
      <c r="J148" s="3"/>
      <c r="K148" s="3"/>
      <c r="L148" s="3"/>
      <c r="M148" s="3"/>
      <c r="N148" s="3"/>
      <c r="O148" s="3"/>
      <c r="P148" s="3"/>
    </row>
    <row r="149" spans="1:16" s="27" customFormat="1" hidden="1" x14ac:dyDescent="0.2">
      <c r="A149" s="8"/>
      <c r="B149" s="3"/>
      <c r="C149" s="8"/>
      <c r="D149" s="20"/>
      <c r="E149" s="18"/>
      <c r="F149" s="18"/>
      <c r="G149" s="41"/>
      <c r="H149" s="20"/>
      <c r="I149" s="3"/>
      <c r="J149" s="3"/>
      <c r="K149" s="3"/>
      <c r="L149" s="3"/>
      <c r="M149" s="3"/>
      <c r="N149" s="3"/>
      <c r="O149" s="3"/>
      <c r="P149" s="3"/>
    </row>
    <row r="150" spans="1:16" s="27" customFormat="1" hidden="1" x14ac:dyDescent="0.2">
      <c r="A150" s="8"/>
      <c r="B150" s="3"/>
      <c r="C150" s="8"/>
      <c r="D150" s="20"/>
      <c r="E150" s="18"/>
      <c r="F150" s="18"/>
      <c r="G150" s="41"/>
      <c r="H150" s="20"/>
      <c r="I150" s="3"/>
      <c r="J150" s="3"/>
      <c r="K150" s="3"/>
      <c r="L150" s="3"/>
      <c r="M150" s="3"/>
      <c r="N150" s="3"/>
      <c r="O150" s="3"/>
      <c r="P150" s="3"/>
    </row>
    <row r="151" spans="1:16" s="27" customFormat="1" hidden="1" x14ac:dyDescent="0.2">
      <c r="A151" s="8"/>
      <c r="B151" s="3"/>
      <c r="C151" s="8"/>
      <c r="D151" s="20"/>
      <c r="E151" s="18"/>
      <c r="F151" s="18"/>
      <c r="G151" s="41"/>
      <c r="H151" s="20"/>
      <c r="I151" s="3"/>
      <c r="J151" s="3"/>
      <c r="K151" s="3"/>
      <c r="L151" s="3"/>
      <c r="M151" s="3"/>
      <c r="N151" s="3"/>
      <c r="O151" s="3"/>
      <c r="P151" s="3"/>
    </row>
    <row r="152" spans="1:16" s="27" customFormat="1" hidden="1" x14ac:dyDescent="0.2">
      <c r="A152" s="8"/>
      <c r="B152" s="3"/>
      <c r="C152" s="8"/>
      <c r="D152" s="20"/>
      <c r="E152" s="18"/>
      <c r="F152" s="18"/>
      <c r="G152" s="41"/>
      <c r="H152" s="20"/>
      <c r="I152" s="3"/>
      <c r="J152" s="3"/>
      <c r="K152" s="3"/>
      <c r="L152" s="3"/>
      <c r="M152" s="3"/>
      <c r="N152" s="3"/>
      <c r="O152" s="3"/>
      <c r="P152" s="3"/>
    </row>
    <row r="153" spans="1:16" s="27" customFormat="1" hidden="1" x14ac:dyDescent="0.2">
      <c r="A153" s="8"/>
      <c r="B153" s="3"/>
      <c r="C153" s="8"/>
      <c r="D153" s="20"/>
      <c r="E153" s="18"/>
      <c r="F153" s="18"/>
      <c r="G153" s="41"/>
      <c r="H153" s="20"/>
      <c r="I153" s="3"/>
      <c r="J153" s="3"/>
      <c r="K153" s="3"/>
      <c r="L153" s="3"/>
      <c r="M153" s="3"/>
      <c r="N153" s="3"/>
      <c r="O153" s="3"/>
      <c r="P153" s="3"/>
    </row>
    <row r="154" spans="1:16" s="27" customFormat="1" hidden="1" x14ac:dyDescent="0.2">
      <c r="A154" s="8"/>
      <c r="B154" s="3"/>
      <c r="C154" s="8"/>
      <c r="D154" s="20"/>
      <c r="E154" s="18"/>
      <c r="F154" s="18"/>
      <c r="G154" s="41"/>
      <c r="H154" s="20"/>
      <c r="I154" s="3"/>
      <c r="J154" s="3"/>
      <c r="K154" s="3"/>
      <c r="L154" s="3"/>
      <c r="M154" s="3"/>
      <c r="N154" s="3"/>
      <c r="O154" s="3"/>
      <c r="P154" s="3"/>
    </row>
    <row r="155" spans="1:16" s="27" customFormat="1" hidden="1" x14ac:dyDescent="0.2">
      <c r="A155" s="8"/>
      <c r="B155" s="3"/>
      <c r="C155" s="8"/>
      <c r="D155" s="20"/>
      <c r="E155" s="18"/>
      <c r="F155" s="18"/>
      <c r="G155" s="41"/>
      <c r="H155" s="20"/>
      <c r="I155" s="3"/>
      <c r="J155" s="3"/>
      <c r="K155" s="3"/>
      <c r="L155" s="3"/>
      <c r="M155" s="3"/>
      <c r="N155" s="3"/>
      <c r="O155" s="3"/>
      <c r="P155" s="3"/>
    </row>
    <row r="156" spans="1:16" s="27" customFormat="1" hidden="1" x14ac:dyDescent="0.2">
      <c r="A156" s="8"/>
      <c r="B156" s="3"/>
      <c r="C156" s="8"/>
      <c r="D156" s="20"/>
      <c r="E156" s="18"/>
      <c r="F156" s="18"/>
      <c r="G156" s="41"/>
      <c r="H156" s="20"/>
      <c r="I156" s="3"/>
      <c r="J156" s="3"/>
      <c r="K156" s="3"/>
      <c r="L156" s="3"/>
      <c r="M156" s="3"/>
      <c r="N156" s="3"/>
      <c r="O156" s="3"/>
      <c r="P156" s="3"/>
    </row>
    <row r="157" spans="1:16" s="27" customFormat="1" hidden="1" x14ac:dyDescent="0.2">
      <c r="A157" s="8"/>
      <c r="B157" s="3"/>
      <c r="C157" s="8"/>
      <c r="D157" s="20"/>
      <c r="E157" s="18"/>
      <c r="F157" s="18"/>
      <c r="G157" s="41"/>
      <c r="H157" s="20"/>
      <c r="I157" s="3"/>
      <c r="J157" s="3"/>
      <c r="K157" s="3"/>
      <c r="L157" s="3"/>
      <c r="M157" s="3"/>
      <c r="N157" s="3"/>
      <c r="O157" s="3"/>
      <c r="P157" s="3"/>
    </row>
    <row r="158" spans="1:16" s="27" customFormat="1" hidden="1" x14ac:dyDescent="0.2">
      <c r="A158" s="8"/>
      <c r="B158" s="3"/>
      <c r="C158" s="8"/>
      <c r="D158" s="20"/>
      <c r="E158" s="18"/>
      <c r="F158" s="18"/>
      <c r="G158" s="41"/>
      <c r="H158" s="20"/>
      <c r="I158" s="3"/>
      <c r="J158" s="3"/>
      <c r="K158" s="3"/>
      <c r="L158" s="3"/>
      <c r="M158" s="3"/>
      <c r="N158" s="3"/>
      <c r="O158" s="3"/>
      <c r="P158" s="3"/>
    </row>
    <row r="159" spans="1:16" s="27" customFormat="1" hidden="1" x14ac:dyDescent="0.2">
      <c r="A159" s="8"/>
      <c r="B159" s="3"/>
      <c r="C159" s="8"/>
      <c r="D159" s="20"/>
      <c r="E159" s="18"/>
      <c r="F159" s="18"/>
      <c r="G159" s="41"/>
      <c r="H159" s="20"/>
      <c r="I159" s="3"/>
      <c r="J159" s="3"/>
      <c r="K159" s="3"/>
      <c r="L159" s="3"/>
      <c r="M159" s="3"/>
      <c r="N159" s="3"/>
      <c r="O159" s="3"/>
      <c r="P159" s="3"/>
    </row>
    <row r="160" spans="1:16" s="27" customFormat="1" hidden="1" x14ac:dyDescent="0.2">
      <c r="A160" s="8"/>
      <c r="B160" s="3"/>
      <c r="C160" s="8"/>
      <c r="D160" s="20"/>
      <c r="E160" s="18"/>
      <c r="F160" s="18"/>
      <c r="G160" s="41"/>
      <c r="H160" s="20"/>
      <c r="I160" s="3"/>
      <c r="J160" s="3"/>
      <c r="K160" s="3"/>
      <c r="L160" s="3"/>
      <c r="M160" s="3"/>
      <c r="N160" s="3"/>
      <c r="O160" s="3"/>
      <c r="P160" s="3"/>
    </row>
    <row r="161" spans="1:16" s="27" customFormat="1" hidden="1" x14ac:dyDescent="0.2">
      <c r="A161" s="8"/>
      <c r="B161" s="3"/>
      <c r="C161" s="8"/>
      <c r="D161" s="20"/>
      <c r="E161" s="18"/>
      <c r="F161" s="18"/>
      <c r="G161" s="41"/>
      <c r="H161" s="20"/>
      <c r="I161" s="3"/>
      <c r="J161" s="3"/>
      <c r="K161" s="3"/>
      <c r="L161" s="3"/>
      <c r="M161" s="3"/>
      <c r="N161" s="3"/>
      <c r="O161" s="3"/>
      <c r="P161" s="3"/>
    </row>
    <row r="162" spans="1:16" s="27" customFormat="1" hidden="1" x14ac:dyDescent="0.2">
      <c r="A162" s="8"/>
      <c r="B162" s="3"/>
      <c r="C162" s="8"/>
      <c r="D162" s="20"/>
      <c r="E162" s="18"/>
      <c r="F162" s="18"/>
      <c r="G162" s="41"/>
      <c r="H162" s="20"/>
      <c r="I162" s="3"/>
      <c r="J162" s="3"/>
      <c r="K162" s="3"/>
      <c r="L162" s="3"/>
      <c r="M162" s="3"/>
      <c r="N162" s="3"/>
      <c r="O162" s="3"/>
      <c r="P162" s="3"/>
    </row>
    <row r="163" spans="1:16" s="27" customFormat="1" hidden="1" x14ac:dyDescent="0.2">
      <c r="A163" s="8"/>
      <c r="B163" s="3"/>
      <c r="C163" s="8"/>
      <c r="D163" s="20"/>
      <c r="E163" s="18"/>
      <c r="F163" s="18"/>
      <c r="G163" s="41"/>
      <c r="H163" s="20"/>
      <c r="I163" s="3"/>
      <c r="J163" s="3"/>
      <c r="K163" s="3"/>
      <c r="L163" s="3"/>
      <c r="M163" s="3"/>
      <c r="N163" s="3"/>
      <c r="O163" s="3"/>
      <c r="P163" s="3"/>
    </row>
    <row r="164" spans="1:16" s="27" customFormat="1" hidden="1" x14ac:dyDescent="0.2">
      <c r="A164" s="8"/>
      <c r="B164" s="3"/>
      <c r="C164" s="8"/>
      <c r="D164" s="20"/>
      <c r="E164" s="18"/>
      <c r="F164" s="18"/>
      <c r="G164" s="41"/>
      <c r="H164" s="20"/>
      <c r="I164" s="3"/>
      <c r="J164" s="3"/>
      <c r="K164" s="3"/>
      <c r="L164" s="3"/>
      <c r="M164" s="3"/>
      <c r="N164" s="3"/>
      <c r="O164" s="3"/>
      <c r="P164" s="3"/>
    </row>
    <row r="165" spans="1:16" s="27" customFormat="1" hidden="1" x14ac:dyDescent="0.2">
      <c r="A165" s="8"/>
      <c r="B165" s="3"/>
      <c r="C165" s="8"/>
      <c r="D165" s="20"/>
      <c r="E165" s="18"/>
      <c r="F165" s="18"/>
      <c r="G165" s="41"/>
      <c r="H165" s="20"/>
      <c r="I165" s="3"/>
      <c r="J165" s="3"/>
      <c r="K165" s="3"/>
      <c r="L165" s="3"/>
      <c r="M165" s="3"/>
      <c r="N165" s="3"/>
      <c r="O165" s="3"/>
      <c r="P165" s="3"/>
    </row>
    <row r="166" spans="1:16" s="27" customFormat="1" hidden="1" x14ac:dyDescent="0.2">
      <c r="A166" s="8"/>
      <c r="B166" s="3"/>
      <c r="C166" s="8"/>
      <c r="D166" s="20"/>
      <c r="E166" s="18"/>
      <c r="F166" s="18"/>
      <c r="G166" s="41"/>
      <c r="H166" s="20"/>
      <c r="I166" s="3"/>
      <c r="J166" s="3"/>
      <c r="K166" s="3"/>
      <c r="L166" s="3"/>
      <c r="M166" s="3"/>
      <c r="N166" s="3"/>
      <c r="O166" s="3"/>
      <c r="P166" s="3"/>
    </row>
    <row r="167" spans="1:16" s="27" customFormat="1" hidden="1" x14ac:dyDescent="0.2">
      <c r="A167" s="8"/>
      <c r="B167" s="3"/>
      <c r="C167" s="8"/>
      <c r="D167" s="20"/>
      <c r="E167" s="18"/>
      <c r="F167" s="18"/>
      <c r="G167" s="41"/>
      <c r="H167" s="20"/>
      <c r="I167" s="3"/>
      <c r="J167" s="3"/>
      <c r="K167" s="3"/>
      <c r="L167" s="3"/>
      <c r="M167" s="3"/>
      <c r="N167" s="3"/>
      <c r="O167" s="3"/>
      <c r="P167" s="3"/>
    </row>
    <row r="168" spans="1:16" s="27" customFormat="1" hidden="1" x14ac:dyDescent="0.2">
      <c r="A168" s="8"/>
      <c r="B168" s="3"/>
      <c r="C168" s="8"/>
      <c r="D168" s="20"/>
      <c r="E168" s="18"/>
      <c r="F168" s="18"/>
      <c r="G168" s="41"/>
      <c r="H168" s="20"/>
      <c r="I168" s="3"/>
      <c r="J168" s="3"/>
      <c r="K168" s="3"/>
      <c r="L168" s="3"/>
      <c r="M168" s="3"/>
      <c r="N168" s="3"/>
      <c r="O168" s="3"/>
      <c r="P168" s="3"/>
    </row>
    <row r="169" spans="1:16" s="27" customFormat="1" hidden="1" x14ac:dyDescent="0.2">
      <c r="A169" s="8"/>
      <c r="B169" s="3"/>
      <c r="C169" s="8"/>
      <c r="D169" s="20">
        <f>+D10+D61</f>
        <v>152032313239.91998</v>
      </c>
      <c r="E169" s="20">
        <f>+E10+E61</f>
        <v>132006588400.59001</v>
      </c>
      <c r="F169" s="35">
        <f>+D169-E169</f>
        <v>20025724839.329971</v>
      </c>
      <c r="G169" s="63">
        <f>+F169/E169</f>
        <v>0.15170246486909789</v>
      </c>
      <c r="H169" s="20"/>
      <c r="I169" s="3"/>
      <c r="J169" s="3"/>
      <c r="K169" s="3"/>
      <c r="L169" s="3"/>
      <c r="M169" s="3"/>
      <c r="N169" s="3"/>
      <c r="O169" s="3"/>
      <c r="P169" s="3"/>
    </row>
    <row r="170" spans="1:16" s="27" customFormat="1" hidden="1" x14ac:dyDescent="0.2">
      <c r="A170" s="8"/>
      <c r="B170" s="3"/>
      <c r="C170" s="8"/>
      <c r="D170" s="20"/>
      <c r="E170" s="18"/>
      <c r="F170" s="18"/>
      <c r="G170" s="41"/>
      <c r="H170" s="20"/>
      <c r="I170" s="3"/>
      <c r="J170" s="3"/>
      <c r="K170" s="3"/>
      <c r="L170" s="3"/>
      <c r="M170" s="3"/>
      <c r="N170" s="3"/>
      <c r="O170" s="3"/>
      <c r="P170" s="3"/>
    </row>
    <row r="171" spans="1:16" hidden="1" x14ac:dyDescent="0.2"/>
    <row r="172" spans="1:16" hidden="1" x14ac:dyDescent="0.2">
      <c r="D172" s="20">
        <f>+D40+D69</f>
        <v>38311707605.350006</v>
      </c>
      <c r="E172" s="20">
        <f>+E40+E69</f>
        <v>31389256332.019997</v>
      </c>
      <c r="F172" s="35">
        <f t="shared" ref="F172" si="27">+D172-E172</f>
        <v>6922451273.3300095</v>
      </c>
      <c r="G172" s="63">
        <f t="shared" ref="G172" si="28">+F172/E172</f>
        <v>0.22053568903027682</v>
      </c>
    </row>
    <row r="173" spans="1:16" hidden="1" x14ac:dyDescent="0.2"/>
  </sheetData>
  <mergeCells count="28">
    <mergeCell ref="A1:G1"/>
    <mergeCell ref="A3:G3"/>
    <mergeCell ref="A4:G4"/>
    <mergeCell ref="A87:C87"/>
    <mergeCell ref="H6:K6"/>
    <mergeCell ref="G7:G8"/>
    <mergeCell ref="A5:G5"/>
    <mergeCell ref="A79:G79"/>
    <mergeCell ref="B63:C63"/>
    <mergeCell ref="B65:C65"/>
    <mergeCell ref="A2:G2"/>
    <mergeCell ref="H2:N2"/>
    <mergeCell ref="A86:B86"/>
    <mergeCell ref="A84:B84"/>
    <mergeCell ref="A85:B85"/>
    <mergeCell ref="C84:D84"/>
    <mergeCell ref="K96:M96"/>
    <mergeCell ref="K90:M90"/>
    <mergeCell ref="K91:M91"/>
    <mergeCell ref="K92:M92"/>
    <mergeCell ref="K93:M93"/>
    <mergeCell ref="K94:M94"/>
    <mergeCell ref="K95:M95"/>
    <mergeCell ref="A7:A8"/>
    <mergeCell ref="B7:B8"/>
    <mergeCell ref="C7:C8"/>
    <mergeCell ref="C85:D85"/>
    <mergeCell ref="C86:D86"/>
  </mergeCells>
  <printOptions horizontalCentered="1" verticalCentered="1"/>
  <pageMargins left="0.31496062992125984" right="0" top="0.19685039370078741" bottom="0.11811023622047245" header="0" footer="0"/>
  <pageSetup paperSize="9" scale="7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6354-3527-4AEF-94CA-F622A69F93E0}">
  <dimension ref="A1:AD88"/>
  <sheetViews>
    <sheetView topLeftCell="A58" zoomScaleNormal="100" workbookViewId="0">
      <selection activeCell="I96" sqref="I96"/>
    </sheetView>
  </sheetViews>
  <sheetFormatPr baseColWidth="10" defaultColWidth="11.42578125" defaultRowHeight="12.75" x14ac:dyDescent="0.2"/>
  <cols>
    <col min="1" max="1" width="5.140625" style="90" customWidth="1"/>
    <col min="2" max="2" width="25.42578125" style="90" customWidth="1"/>
    <col min="3" max="3" width="1.140625" style="80" customWidth="1"/>
    <col min="4" max="4" width="17.85546875" style="14" customWidth="1"/>
    <col min="5" max="5" width="18.28515625" style="14" customWidth="1"/>
    <col min="6" max="6" width="28" style="14" hidden="1" customWidth="1"/>
    <col min="7" max="7" width="8.5703125" style="14" customWidth="1"/>
    <col min="8" max="8" width="4.42578125" style="90" bestFit="1" customWidth="1"/>
    <col min="9" max="9" width="22.28515625" style="90" customWidth="1"/>
    <col min="10" max="10" width="2" style="80" customWidth="1"/>
    <col min="11" max="11" width="14.42578125" style="24" customWidth="1"/>
    <col min="12" max="12" width="14" style="14" customWidth="1"/>
    <col min="13" max="13" width="12.85546875" style="14" hidden="1" customWidth="1"/>
    <col min="14" max="14" width="7.42578125" style="90" customWidth="1"/>
    <col min="15" max="15" width="6.140625" style="90" hidden="1" customWidth="1"/>
    <col min="16" max="17" width="6.5703125" style="90" hidden="1" customWidth="1"/>
    <col min="18" max="18" width="7.85546875" style="90" hidden="1" customWidth="1"/>
    <col min="19" max="19" width="7" style="90" hidden="1" customWidth="1"/>
    <col min="20" max="22" width="11.42578125" style="90" hidden="1" customWidth="1"/>
    <col min="23" max="23" width="7.85546875" style="90" customWidth="1"/>
    <col min="24" max="24" width="4.85546875" style="90" customWidth="1"/>
    <col min="25" max="16384" width="11.42578125" style="90"/>
  </cols>
  <sheetData>
    <row r="1" spans="1:25" s="1" customFormat="1" ht="18" x14ac:dyDescent="0.25">
      <c r="A1" s="233" t="s">
        <v>209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5"/>
    </row>
    <row r="2" spans="1:25" s="1" customFormat="1" ht="18" x14ac:dyDescent="0.25">
      <c r="A2" s="236" t="s">
        <v>202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</row>
    <row r="3" spans="1:25" s="1" customFormat="1" ht="18" x14ac:dyDescent="0.25">
      <c r="A3" s="236" t="s">
        <v>208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8"/>
    </row>
    <row r="4" spans="1:25" s="1" customFormat="1" ht="18" x14ac:dyDescent="0.25">
      <c r="A4" s="236" t="s">
        <v>243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</row>
    <row r="5" spans="1:25" s="1" customFormat="1" ht="18" x14ac:dyDescent="0.25">
      <c r="A5" s="239" t="s">
        <v>102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1:25" s="2" customFormat="1" ht="14.25" customHeight="1" x14ac:dyDescent="0.2">
      <c r="A6" s="242" t="s">
        <v>0</v>
      </c>
      <c r="B6" s="243" t="s">
        <v>38</v>
      </c>
      <c r="C6" s="243"/>
      <c r="D6" s="103">
        <v>2025</v>
      </c>
      <c r="E6" s="103">
        <v>2025</v>
      </c>
      <c r="F6" s="49" t="s">
        <v>2</v>
      </c>
      <c r="G6" s="244" t="s">
        <v>186</v>
      </c>
      <c r="H6" s="245" t="s">
        <v>0</v>
      </c>
      <c r="I6" s="243" t="s">
        <v>38</v>
      </c>
      <c r="J6" s="243"/>
      <c r="K6" s="103">
        <v>2025</v>
      </c>
      <c r="L6" s="103">
        <v>2025</v>
      </c>
      <c r="M6" s="49" t="s">
        <v>2</v>
      </c>
      <c r="N6" s="246" t="s">
        <v>186</v>
      </c>
      <c r="P6" s="248" t="s">
        <v>1</v>
      </c>
      <c r="Q6" s="248"/>
      <c r="R6" s="248" t="s">
        <v>4</v>
      </c>
      <c r="S6" s="248"/>
    </row>
    <row r="7" spans="1:25" s="2" customFormat="1" ht="12" customHeight="1" x14ac:dyDescent="0.2">
      <c r="A7" s="242"/>
      <c r="B7" s="243"/>
      <c r="C7" s="243"/>
      <c r="D7" s="103" t="s">
        <v>220</v>
      </c>
      <c r="E7" s="103" t="s">
        <v>234</v>
      </c>
      <c r="F7" s="49" t="s">
        <v>5</v>
      </c>
      <c r="G7" s="244"/>
      <c r="H7" s="245"/>
      <c r="I7" s="243"/>
      <c r="J7" s="243"/>
      <c r="K7" s="103" t="s">
        <v>220</v>
      </c>
      <c r="L7" s="103" t="s">
        <v>234</v>
      </c>
      <c r="M7" s="49" t="s">
        <v>5</v>
      </c>
      <c r="N7" s="246"/>
    </row>
    <row r="8" spans="1:25" s="2" customFormat="1" ht="15.75" customHeight="1" x14ac:dyDescent="0.2">
      <c r="A8" s="120"/>
      <c r="B8" s="214" t="s">
        <v>1</v>
      </c>
      <c r="C8" s="49"/>
      <c r="D8" s="98"/>
      <c r="E8" s="98"/>
      <c r="F8" s="98"/>
      <c r="G8" s="135"/>
      <c r="H8" s="47"/>
      <c r="I8" s="214" t="s">
        <v>3</v>
      </c>
      <c r="J8" s="49"/>
      <c r="K8" s="23"/>
      <c r="L8" s="48"/>
      <c r="M8" s="48"/>
      <c r="N8" s="121"/>
    </row>
    <row r="9" spans="1:25" s="2" customFormat="1" ht="21.75" customHeight="1" x14ac:dyDescent="0.2">
      <c r="A9" s="120"/>
      <c r="B9" s="46" t="s">
        <v>103</v>
      </c>
      <c r="C9" s="49"/>
      <c r="D9" s="138">
        <f>+D10+D16+D23+D27+D14</f>
        <v>289846779825.54004</v>
      </c>
      <c r="E9" s="138">
        <f>+E10+E16+E23+E27+E14</f>
        <v>280949874752.38</v>
      </c>
      <c r="F9" s="138">
        <f>+F10+F16+F23+F27+F14</f>
        <v>8896905073.1600494</v>
      </c>
      <c r="G9" s="139">
        <f>+F9/E9</f>
        <v>3.1667232743924481E-2</v>
      </c>
      <c r="H9" s="47"/>
      <c r="I9" s="46" t="s">
        <v>127</v>
      </c>
      <c r="J9" s="49"/>
      <c r="K9" s="138">
        <f>+K10+K18+K21+K25</f>
        <v>36695745119.089996</v>
      </c>
      <c r="L9" s="138">
        <f>+L10+L18+L21+L25</f>
        <v>38298082483.779999</v>
      </c>
      <c r="M9" s="138">
        <f>+M10+M18+M21+M25</f>
        <v>-1602337364.6900005</v>
      </c>
      <c r="N9" s="140">
        <f>+M9/L9</f>
        <v>-4.1838579395420704E-2</v>
      </c>
      <c r="P9" s="37">
        <f>+D9/D9*100</f>
        <v>100</v>
      </c>
      <c r="Q9" s="44">
        <f>+D9/D56*100</f>
        <v>46.491192091438435</v>
      </c>
    </row>
    <row r="10" spans="1:25" s="2" customFormat="1" ht="26.25" customHeight="1" x14ac:dyDescent="0.2">
      <c r="A10" s="125">
        <v>11</v>
      </c>
      <c r="B10" s="151" t="s">
        <v>104</v>
      </c>
      <c r="C10" s="49"/>
      <c r="D10" s="84">
        <f>SUM(D11:D13)</f>
        <v>196387619272.09003</v>
      </c>
      <c r="E10" s="84">
        <f>SUM(E11:E13)</f>
        <v>261336700188.60999</v>
      </c>
      <c r="F10" s="84">
        <f>SUM(F11:F13)</f>
        <v>-64949080916.519974</v>
      </c>
      <c r="G10" s="136">
        <f>+F10/E10</f>
        <v>-0.24852644450490652</v>
      </c>
      <c r="H10" s="51">
        <v>24</v>
      </c>
      <c r="I10" s="50" t="s">
        <v>128</v>
      </c>
      <c r="J10" s="49"/>
      <c r="K10" s="84">
        <f>SUM(K11:K16)</f>
        <v>6972746569.9099998</v>
      </c>
      <c r="L10" s="84">
        <f>SUM(L11:L16)</f>
        <v>4949505949.8499994</v>
      </c>
      <c r="M10" s="84">
        <f>SUM(M11:M16)</f>
        <v>2023240620.0599999</v>
      </c>
      <c r="N10" s="122">
        <f t="shared" ref="N10:N14" si="0">+M10/L10</f>
        <v>0.40877627798817306</v>
      </c>
    </row>
    <row r="11" spans="1:25" s="2" customFormat="1" ht="24.75" customHeight="1" x14ac:dyDescent="0.2">
      <c r="A11" s="120">
        <v>1105</v>
      </c>
      <c r="B11" s="85" t="s">
        <v>211</v>
      </c>
      <c r="C11" s="77"/>
      <c r="D11" s="222">
        <v>751821690</v>
      </c>
      <c r="E11" s="222">
        <v>751821690</v>
      </c>
      <c r="F11" s="83">
        <f>+D11-E11</f>
        <v>0</v>
      </c>
      <c r="G11" s="137">
        <f>+F11/E11</f>
        <v>0</v>
      </c>
      <c r="H11" s="52">
        <v>2401</v>
      </c>
      <c r="I11" s="85" t="s">
        <v>129</v>
      </c>
      <c r="J11" s="77"/>
      <c r="K11" s="222">
        <v>3122485145.8099999</v>
      </c>
      <c r="L11" s="222">
        <v>2052154577.73</v>
      </c>
      <c r="M11" s="83">
        <f>+K11-L11</f>
        <v>1070330568.0799999</v>
      </c>
      <c r="N11" s="123">
        <f t="shared" si="0"/>
        <v>0.52156430109858043</v>
      </c>
    </row>
    <row r="12" spans="1:25" s="2" customFormat="1" ht="26.25" customHeight="1" x14ac:dyDescent="0.2">
      <c r="A12" s="120">
        <v>1110</v>
      </c>
      <c r="B12" s="85" t="s">
        <v>105</v>
      </c>
      <c r="C12" s="77"/>
      <c r="D12" s="222">
        <v>189883568501.64001</v>
      </c>
      <c r="E12" s="222">
        <v>260370020671.01999</v>
      </c>
      <c r="F12" s="83">
        <f>+D12-E12</f>
        <v>-70486452169.379974</v>
      </c>
      <c r="G12" s="137">
        <f>+F12/E12</f>
        <v>-0.27071646723276288</v>
      </c>
      <c r="H12" s="52">
        <v>2407</v>
      </c>
      <c r="I12" s="85" t="s">
        <v>130</v>
      </c>
      <c r="J12" s="77"/>
      <c r="K12" s="222">
        <v>39955628</v>
      </c>
      <c r="L12" s="222">
        <v>90954180</v>
      </c>
      <c r="M12" s="83">
        <f t="shared" ref="M12:M16" si="1">+K12-L12</f>
        <v>-50998552</v>
      </c>
      <c r="N12" s="123">
        <f t="shared" si="0"/>
        <v>-0.56070597305148595</v>
      </c>
      <c r="P12" s="11">
        <f>+D10/$D$9*100</f>
        <v>67.755667111532702</v>
      </c>
      <c r="S12" s="11">
        <f>+K10/$K$36*100</f>
        <v>1198.0320979446717</v>
      </c>
    </row>
    <row r="13" spans="1:25" s="2" customFormat="1" ht="18" customHeight="1" x14ac:dyDescent="0.2">
      <c r="A13" s="120">
        <v>1133</v>
      </c>
      <c r="B13" s="47" t="s">
        <v>106</v>
      </c>
      <c r="C13" s="77"/>
      <c r="D13" s="222">
        <v>5752229080.4499998</v>
      </c>
      <c r="E13" s="222">
        <v>214857827.59</v>
      </c>
      <c r="F13" s="83">
        <f>+D13-E13</f>
        <v>5537371252.8599997</v>
      </c>
      <c r="G13" s="137">
        <f>+F13/E13</f>
        <v>25.772257473563521</v>
      </c>
      <c r="H13" s="52">
        <v>2424</v>
      </c>
      <c r="I13" s="85" t="s">
        <v>131</v>
      </c>
      <c r="J13" s="77"/>
      <c r="K13" s="222">
        <v>2084091363</v>
      </c>
      <c r="L13" s="222">
        <v>1328629640</v>
      </c>
      <c r="M13" s="83">
        <f t="shared" si="1"/>
        <v>755461723</v>
      </c>
      <c r="N13" s="123">
        <f t="shared" si="0"/>
        <v>0.56860218999780854</v>
      </c>
      <c r="P13" s="11">
        <f>+D20/$D$9*100</f>
        <v>0</v>
      </c>
      <c r="R13" s="11">
        <f>+K11/$K$10*100</f>
        <v>44.781279722465278</v>
      </c>
      <c r="S13" s="11"/>
    </row>
    <row r="14" spans="1:25" s="2" customFormat="1" ht="28.15" customHeight="1" x14ac:dyDescent="0.2">
      <c r="A14" s="125">
        <v>12</v>
      </c>
      <c r="B14" s="151" t="s">
        <v>237</v>
      </c>
      <c r="C14" s="77"/>
      <c r="D14" s="84">
        <f>+D15</f>
        <v>85650044038.410004</v>
      </c>
      <c r="E14" s="84">
        <f t="shared" ref="E14:F14" si="2">+E15</f>
        <v>0</v>
      </c>
      <c r="F14" s="84">
        <f t="shared" si="2"/>
        <v>85650044038.410004</v>
      </c>
      <c r="G14" s="212" t="s">
        <v>6</v>
      </c>
      <c r="H14" s="52">
        <v>2436</v>
      </c>
      <c r="I14" s="85" t="s">
        <v>132</v>
      </c>
      <c r="J14" s="77"/>
      <c r="K14" s="222">
        <v>356695422.69</v>
      </c>
      <c r="L14" s="222">
        <v>175200407</v>
      </c>
      <c r="M14" s="83">
        <f t="shared" si="1"/>
        <v>181495015.69</v>
      </c>
      <c r="N14" s="123">
        <f t="shared" si="0"/>
        <v>1.0359280483292483</v>
      </c>
      <c r="P14" s="11"/>
      <c r="R14" s="11"/>
      <c r="S14" s="11"/>
      <c r="Y14" s="12"/>
    </row>
    <row r="15" spans="1:25" s="2" customFormat="1" ht="35.25" customHeight="1" x14ac:dyDescent="0.2">
      <c r="A15" s="229">
        <v>1223</v>
      </c>
      <c r="B15" s="230" t="s">
        <v>236</v>
      </c>
      <c r="C15" s="77"/>
      <c r="D15" s="222">
        <v>85650044038.410004</v>
      </c>
      <c r="E15" s="83">
        <v>0</v>
      </c>
      <c r="F15" s="83">
        <f>+D15-E15</f>
        <v>85650044038.410004</v>
      </c>
      <c r="G15" s="213" t="s">
        <v>6</v>
      </c>
      <c r="H15" s="52">
        <v>2440</v>
      </c>
      <c r="I15" s="85" t="s">
        <v>133</v>
      </c>
      <c r="J15" s="77"/>
      <c r="K15" s="222">
        <v>325792038.60000002</v>
      </c>
      <c r="L15" s="222">
        <v>832293940</v>
      </c>
      <c r="M15" s="83">
        <f t="shared" si="1"/>
        <v>-506501901.39999998</v>
      </c>
      <c r="N15" s="123">
        <f>+M15/L15</f>
        <v>-0.60856132317868372</v>
      </c>
      <c r="P15" s="11"/>
      <c r="R15" s="11">
        <f>+K12/$K$10*100</f>
        <v>0.57302567359071133</v>
      </c>
      <c r="S15" s="11"/>
    </row>
    <row r="16" spans="1:25" s="2" customFormat="1" ht="20.25" customHeight="1" x14ac:dyDescent="0.2">
      <c r="A16" s="125">
        <v>13</v>
      </c>
      <c r="B16" s="50" t="s">
        <v>107</v>
      </c>
      <c r="C16" s="49"/>
      <c r="D16" s="84">
        <f>SUM(D17:D21)</f>
        <v>5922453896.1999998</v>
      </c>
      <c r="E16" s="84">
        <f t="shared" ref="E16:F16" si="3">SUM(E17:E21)</f>
        <v>17671525124.299999</v>
      </c>
      <c r="F16" s="84">
        <f t="shared" si="3"/>
        <v>-11749071228.099998</v>
      </c>
      <c r="G16" s="136">
        <f>+F16/E16</f>
        <v>-0.66485892674559977</v>
      </c>
      <c r="H16" s="47">
        <v>2490</v>
      </c>
      <c r="I16" s="47" t="s">
        <v>134</v>
      </c>
      <c r="J16" s="77"/>
      <c r="K16" s="222">
        <v>1043726971.8099999</v>
      </c>
      <c r="L16" s="222">
        <v>470273205.12</v>
      </c>
      <c r="M16" s="83">
        <f t="shared" si="1"/>
        <v>573453766.68999994</v>
      </c>
      <c r="N16" s="123">
        <f t="shared" ref="N16" si="4">+M16/L16</f>
        <v>1.2194055720092989</v>
      </c>
      <c r="P16" s="11">
        <f>+D22/$D$9*100</f>
        <v>0</v>
      </c>
      <c r="R16" s="11">
        <f>+K13/$K$10*100</f>
        <v>29.889102408993768</v>
      </c>
      <c r="S16" s="11"/>
    </row>
    <row r="17" spans="1:30" s="2" customFormat="1" ht="20.25" customHeight="1" x14ac:dyDescent="0.2">
      <c r="A17" s="124">
        <v>1311</v>
      </c>
      <c r="B17" s="85" t="s">
        <v>235</v>
      </c>
      <c r="C17" s="77"/>
      <c r="D17" s="222">
        <v>38438263</v>
      </c>
      <c r="E17" s="222">
        <v>17229751</v>
      </c>
      <c r="F17" s="83">
        <f t="shared" ref="F17:F20" si="5">+D17-E17</f>
        <v>21208512</v>
      </c>
      <c r="G17" s="137">
        <f>+F17/E17</f>
        <v>1.2309238827653399</v>
      </c>
      <c r="H17" s="47"/>
      <c r="I17" s="85"/>
      <c r="J17" s="77"/>
      <c r="K17" s="83"/>
      <c r="L17" s="83"/>
      <c r="M17" s="83"/>
      <c r="N17" s="126"/>
      <c r="P17" s="11" t="e">
        <f>+D24/$D$22*100</f>
        <v>#DIV/0!</v>
      </c>
      <c r="R17" s="11">
        <f>+K15/$K$10*100</f>
        <v>4.6723631116311335</v>
      </c>
      <c r="S17" s="11"/>
    </row>
    <row r="18" spans="1:30" s="2" customFormat="1" ht="21.75" customHeight="1" x14ac:dyDescent="0.2">
      <c r="A18" s="124">
        <v>1316</v>
      </c>
      <c r="B18" s="85" t="s">
        <v>7</v>
      </c>
      <c r="C18" s="77"/>
      <c r="D18" s="222">
        <v>292750</v>
      </c>
      <c r="E18" s="222">
        <v>378300</v>
      </c>
      <c r="F18" s="83">
        <f t="shared" si="5"/>
        <v>-85550</v>
      </c>
      <c r="G18" s="137">
        <f>+F18/E18</f>
        <v>-0.22614327253502511</v>
      </c>
      <c r="H18" s="51">
        <v>25</v>
      </c>
      <c r="I18" s="151" t="s">
        <v>135</v>
      </c>
      <c r="J18" s="49"/>
      <c r="K18" s="84">
        <f>+K19</f>
        <v>15648990413.26</v>
      </c>
      <c r="L18" s="84">
        <f>+L19</f>
        <v>12230143945.5</v>
      </c>
      <c r="M18" s="84">
        <f>+M19</f>
        <v>3418846467.7600002</v>
      </c>
      <c r="N18" s="122">
        <f>+M18/L18</f>
        <v>0.27954261887636589</v>
      </c>
      <c r="P18" s="11"/>
      <c r="R18" s="11">
        <f>+K16/$K$10*100</f>
        <v>14.968663515092759</v>
      </c>
      <c r="S18" s="11">
        <f>+K16/$K$36*100</f>
        <v>179.32939354414438</v>
      </c>
    </row>
    <row r="19" spans="1:30" s="2" customFormat="1" ht="22.5" customHeight="1" x14ac:dyDescent="0.2">
      <c r="A19" s="127">
        <v>1317</v>
      </c>
      <c r="B19" s="85" t="s">
        <v>108</v>
      </c>
      <c r="C19" s="77"/>
      <c r="D19" s="222">
        <v>5881908948</v>
      </c>
      <c r="E19" s="222">
        <v>17647877805.299999</v>
      </c>
      <c r="F19" s="83">
        <f t="shared" si="5"/>
        <v>-11765968857.299999</v>
      </c>
      <c r="G19" s="137">
        <f>+F19/E19</f>
        <v>-0.6667072940501918</v>
      </c>
      <c r="H19" s="54">
        <v>2511</v>
      </c>
      <c r="I19" s="85" t="s">
        <v>136</v>
      </c>
      <c r="J19" s="77"/>
      <c r="K19" s="222">
        <v>15648990413.26</v>
      </c>
      <c r="L19" s="222">
        <v>12230143945.5</v>
      </c>
      <c r="M19" s="83">
        <f>+K19-L19</f>
        <v>3418846467.7600002</v>
      </c>
      <c r="N19" s="123">
        <f>+M19/L19</f>
        <v>0.27954261887636589</v>
      </c>
      <c r="R19" s="11" t="e">
        <f>+#REF!/$K$10*100</f>
        <v>#REF!</v>
      </c>
      <c r="S19" s="11"/>
    </row>
    <row r="20" spans="1:30" s="2" customFormat="1" ht="1.5" customHeight="1" x14ac:dyDescent="0.2">
      <c r="A20" s="127">
        <v>1337</v>
      </c>
      <c r="B20" s="85" t="s">
        <v>196</v>
      </c>
      <c r="C20" s="77"/>
      <c r="D20" s="222">
        <v>0</v>
      </c>
      <c r="E20" s="222">
        <v>0</v>
      </c>
      <c r="F20" s="83">
        <f t="shared" si="5"/>
        <v>0</v>
      </c>
      <c r="G20" s="137" t="e">
        <f t="shared" ref="G20:G21" si="6">+F20/E20</f>
        <v>#DIV/0!</v>
      </c>
      <c r="H20" s="47"/>
      <c r="I20" s="47"/>
      <c r="J20" s="77"/>
      <c r="K20" s="83"/>
      <c r="L20" s="83"/>
      <c r="M20" s="83"/>
      <c r="N20" s="128"/>
      <c r="S20" s="11"/>
      <c r="X20" s="52"/>
      <c r="Y20" s="12"/>
      <c r="AD20" s="137"/>
    </row>
    <row r="21" spans="1:30" s="2" customFormat="1" ht="18" customHeight="1" x14ac:dyDescent="0.2">
      <c r="A21" s="127">
        <v>1384</v>
      </c>
      <c r="B21" s="85" t="s">
        <v>109</v>
      </c>
      <c r="C21" s="77"/>
      <c r="D21" s="222">
        <v>1813935.2</v>
      </c>
      <c r="E21" s="222">
        <v>6039268</v>
      </c>
      <c r="F21" s="83">
        <f t="shared" ref="F21" si="7">+D21-E21</f>
        <v>-4225332.8</v>
      </c>
      <c r="G21" s="137">
        <f t="shared" si="6"/>
        <v>-0.69964320179200523</v>
      </c>
      <c r="H21" s="51">
        <v>27</v>
      </c>
      <c r="I21" s="50" t="s">
        <v>137</v>
      </c>
      <c r="J21" s="49"/>
      <c r="K21" s="84">
        <f>SUM(K22:K23)</f>
        <v>232140630</v>
      </c>
      <c r="L21" s="84">
        <f>SUM(L22:L23)</f>
        <v>199590594</v>
      </c>
      <c r="M21" s="84">
        <f>SUM(M22:M23)</f>
        <v>32550036</v>
      </c>
      <c r="N21" s="122">
        <f>+M21/L21</f>
        <v>0.16308401787711499</v>
      </c>
      <c r="P21" s="11" t="e">
        <f>+#REF!/$D$22*100</f>
        <v>#REF!</v>
      </c>
      <c r="Q21" s="11"/>
      <c r="R21" s="11"/>
      <c r="S21" s="11">
        <f>+K18/$K$36*100</f>
        <v>2688.7529365284131</v>
      </c>
      <c r="X21" s="52"/>
      <c r="Y21" s="12"/>
      <c r="AD21" s="137"/>
    </row>
    <row r="22" spans="1:30" s="2" customFormat="1" ht="15.75" customHeight="1" x14ac:dyDescent="0.2">
      <c r="A22" s="127"/>
      <c r="B22" s="85"/>
      <c r="C22" s="77"/>
      <c r="D22" s="83"/>
      <c r="E22" s="222"/>
      <c r="F22" s="83"/>
      <c r="G22" s="137"/>
      <c r="H22" s="52">
        <v>2701</v>
      </c>
      <c r="I22" s="85" t="s">
        <v>28</v>
      </c>
      <c r="J22" s="77"/>
      <c r="K22" s="222">
        <v>232140630</v>
      </c>
      <c r="L22" s="222">
        <v>199590594</v>
      </c>
      <c r="M22" s="83">
        <f>+K22-L22</f>
        <v>32550036</v>
      </c>
      <c r="N22" s="123">
        <f>+M22/L22</f>
        <v>0.16308401787711499</v>
      </c>
      <c r="P22" s="11" t="e">
        <f>+D25/$D$22*100</f>
        <v>#DIV/0!</v>
      </c>
      <c r="R22" s="11"/>
      <c r="S22" s="11"/>
    </row>
    <row r="23" spans="1:30" s="2" customFormat="1" ht="18" customHeight="1" x14ac:dyDescent="0.2">
      <c r="A23" s="125">
        <v>15</v>
      </c>
      <c r="B23" s="50" t="s">
        <v>111</v>
      </c>
      <c r="C23" s="49"/>
      <c r="D23" s="84">
        <f>SUM(D24:D26)</f>
        <v>651714729.06000006</v>
      </c>
      <c r="E23" s="84">
        <f>SUM(E24:E26)</f>
        <v>802540369.82000005</v>
      </c>
      <c r="F23" s="84">
        <f>SUM(F24:F26)</f>
        <v>-150825640.75999993</v>
      </c>
      <c r="G23" s="136">
        <f t="shared" ref="G23:G28" si="8">+F23/E23</f>
        <v>-0.18793526959127085</v>
      </c>
      <c r="H23" s="52"/>
      <c r="I23" s="85"/>
      <c r="J23" s="78"/>
      <c r="K23" s="83"/>
      <c r="L23" s="83"/>
      <c r="M23" s="83"/>
      <c r="N23" s="123"/>
      <c r="P23" s="11" t="e">
        <f>+D26/$D$22*100</f>
        <v>#DIV/0!</v>
      </c>
      <c r="R23" s="11"/>
      <c r="S23" s="11"/>
    </row>
    <row r="24" spans="1:30" s="2" customFormat="1" ht="18.75" customHeight="1" x14ac:dyDescent="0.2">
      <c r="A24" s="127">
        <v>1510</v>
      </c>
      <c r="B24" s="85" t="s">
        <v>112</v>
      </c>
      <c r="C24" s="77"/>
      <c r="D24" s="222">
        <v>190467066.69</v>
      </c>
      <c r="E24" s="222">
        <v>162853972.44999999</v>
      </c>
      <c r="F24" s="83">
        <f>+D24-E24</f>
        <v>27613094.24000001</v>
      </c>
      <c r="G24" s="137">
        <f t="shared" si="8"/>
        <v>0.16955738828217948</v>
      </c>
      <c r="H24" s="53"/>
      <c r="I24" s="54"/>
      <c r="J24" s="78"/>
      <c r="K24" s="83"/>
      <c r="L24" s="83"/>
      <c r="M24" s="83"/>
      <c r="N24" s="123"/>
      <c r="P24" s="11"/>
      <c r="R24" s="11"/>
      <c r="S24" s="11">
        <f>+K21/$K$36*100</f>
        <v>39.885563484732742</v>
      </c>
      <c r="Y24" s="12"/>
    </row>
    <row r="25" spans="1:30" s="2" customFormat="1" ht="17.25" customHeight="1" x14ac:dyDescent="0.2">
      <c r="A25" s="127">
        <v>1514</v>
      </c>
      <c r="B25" s="85" t="s">
        <v>113</v>
      </c>
      <c r="C25" s="77"/>
      <c r="D25" s="222">
        <v>459002790.41000003</v>
      </c>
      <c r="E25" s="222">
        <v>637209949.28999996</v>
      </c>
      <c r="F25" s="83">
        <f>+D25-E25</f>
        <v>-178207158.87999994</v>
      </c>
      <c r="G25" s="137">
        <f t="shared" si="8"/>
        <v>-0.27966788509589996</v>
      </c>
      <c r="H25" s="51">
        <v>29</v>
      </c>
      <c r="I25" s="50" t="s">
        <v>10</v>
      </c>
      <c r="J25" s="49"/>
      <c r="K25" s="84">
        <f>SUM(K26:K28)</f>
        <v>13841867505.92</v>
      </c>
      <c r="L25" s="84">
        <f t="shared" ref="L25:M25" si="9">SUM(L26:L28)</f>
        <v>20918841994.43</v>
      </c>
      <c r="M25" s="84">
        <f t="shared" si="9"/>
        <v>-7076974488.5100002</v>
      </c>
      <c r="N25" s="122">
        <f>+M25/L25</f>
        <v>-0.33830622605182287</v>
      </c>
      <c r="P25" s="11" t="e">
        <f>+#REF!/$D$9*100</f>
        <v>#REF!</v>
      </c>
      <c r="R25" s="11"/>
      <c r="S25" s="11"/>
      <c r="Z25" s="12"/>
    </row>
    <row r="26" spans="1:30" s="2" customFormat="1" ht="23.25" customHeight="1" x14ac:dyDescent="0.2">
      <c r="A26" s="120">
        <v>1530</v>
      </c>
      <c r="B26" s="47" t="s">
        <v>9</v>
      </c>
      <c r="C26" s="77"/>
      <c r="D26" s="222">
        <v>2244871.96</v>
      </c>
      <c r="E26" s="222">
        <v>2476448.08</v>
      </c>
      <c r="F26" s="83">
        <f t="shared" ref="F26" si="10">+D26-E26</f>
        <v>-231576.12000000011</v>
      </c>
      <c r="G26" s="137">
        <f t="shared" si="8"/>
        <v>-9.3511397178171446E-2</v>
      </c>
      <c r="H26" s="52">
        <v>2902</v>
      </c>
      <c r="I26" s="85" t="s">
        <v>138</v>
      </c>
      <c r="J26" s="77"/>
      <c r="K26" s="222">
        <v>12362292428.09</v>
      </c>
      <c r="L26" s="222">
        <v>15059453150.34</v>
      </c>
      <c r="M26" s="83">
        <f>+K26-L26</f>
        <v>-2697160722.25</v>
      </c>
      <c r="N26" s="123">
        <f>+M26/L26</f>
        <v>-0.17910084086878716</v>
      </c>
      <c r="R26" s="11"/>
      <c r="S26" s="11"/>
    </row>
    <row r="27" spans="1:30" s="2" customFormat="1" ht="23.25" customHeight="1" x14ac:dyDescent="0.2">
      <c r="A27" s="125">
        <v>19</v>
      </c>
      <c r="B27" s="50" t="s">
        <v>11</v>
      </c>
      <c r="C27" s="49"/>
      <c r="D27" s="84">
        <f>SUM(D28:D28)</f>
        <v>1234947889.78</v>
      </c>
      <c r="E27" s="84">
        <f>SUM(E28:E28)</f>
        <v>1139109069.6500001</v>
      </c>
      <c r="F27" s="84">
        <f>SUM(F28:F28)</f>
        <v>95838820.129999876</v>
      </c>
      <c r="G27" s="136">
        <f t="shared" si="8"/>
        <v>8.4134893385974949E-2</v>
      </c>
      <c r="H27" s="47">
        <v>2910</v>
      </c>
      <c r="I27" s="85" t="s">
        <v>12</v>
      </c>
      <c r="J27" s="77"/>
      <c r="K27" s="222">
        <v>185265880</v>
      </c>
      <c r="L27" s="222">
        <v>3829228705.1999998</v>
      </c>
      <c r="M27" s="83">
        <f>+K27-L27</f>
        <v>-3643962825.1999998</v>
      </c>
      <c r="N27" s="123">
        <f>+M27/L27</f>
        <v>-0.9516179642787036</v>
      </c>
      <c r="R27" s="11"/>
      <c r="S27" s="11"/>
    </row>
    <row r="28" spans="1:30" s="2" customFormat="1" ht="21.95" customHeight="1" x14ac:dyDescent="0.2">
      <c r="A28" s="127">
        <v>1906</v>
      </c>
      <c r="B28" s="85" t="s">
        <v>8</v>
      </c>
      <c r="C28" s="78"/>
      <c r="D28" s="222">
        <v>1234947889.78</v>
      </c>
      <c r="E28" s="222">
        <v>1139109069.6500001</v>
      </c>
      <c r="F28" s="83">
        <f>+D28-E28</f>
        <v>95838820.129999876</v>
      </c>
      <c r="G28" s="137">
        <f t="shared" si="8"/>
        <v>8.4134893385974949E-2</v>
      </c>
      <c r="H28" s="47" t="s">
        <v>190</v>
      </c>
      <c r="I28" s="85" t="s">
        <v>191</v>
      </c>
      <c r="J28" s="77"/>
      <c r="K28" s="222">
        <v>1294309197.8299999</v>
      </c>
      <c r="L28" s="222">
        <v>2030160138.8900001</v>
      </c>
      <c r="M28" s="83">
        <f>+K28-L28</f>
        <v>-735850941.06000018</v>
      </c>
      <c r="N28" s="123">
        <f>+M28/L28</f>
        <v>-0.36245955526559115</v>
      </c>
      <c r="R28" s="11"/>
      <c r="S28" s="11">
        <f>+K25/$K$36*100</f>
        <v>2378.2596142460347</v>
      </c>
    </row>
    <row r="29" spans="1:30" s="2" customFormat="1" ht="25.5" customHeight="1" x14ac:dyDescent="0.2">
      <c r="A29" s="120"/>
      <c r="B29" s="46" t="s">
        <v>114</v>
      </c>
      <c r="C29" s="49"/>
      <c r="D29" s="138">
        <f>D30+D33+D48+D50</f>
        <v>333597719630.33997</v>
      </c>
      <c r="E29" s="138">
        <f>E30+E33+E48+E50</f>
        <v>334264727931.76996</v>
      </c>
      <c r="F29" s="138">
        <f>F30+F33+F48+F50</f>
        <v>-667008301.42999637</v>
      </c>
      <c r="G29" s="139">
        <f>+F29/E29</f>
        <v>-1.9954492523247798E-3</v>
      </c>
      <c r="H29" s="47"/>
      <c r="I29" s="46"/>
      <c r="J29" s="49"/>
      <c r="K29" s="84"/>
      <c r="L29" s="84"/>
      <c r="M29" s="84"/>
      <c r="N29" s="122"/>
      <c r="P29" s="11"/>
      <c r="R29" s="11"/>
      <c r="S29" s="11"/>
    </row>
    <row r="30" spans="1:30" s="2" customFormat="1" ht="18.75" customHeight="1" x14ac:dyDescent="0.2">
      <c r="A30" s="125">
        <v>13</v>
      </c>
      <c r="B30" s="50" t="s">
        <v>107</v>
      </c>
      <c r="C30" s="49"/>
      <c r="D30" s="84">
        <f>SUM(D31:D32)</f>
        <v>311289.73999999464</v>
      </c>
      <c r="E30" s="84">
        <f>SUM(E31:E32)</f>
        <v>463180.73999999464</v>
      </c>
      <c r="F30" s="84">
        <f>SUM(F31:F32)</f>
        <v>-151891</v>
      </c>
      <c r="G30" s="136">
        <f>+F30/E30</f>
        <v>-0.32793030211057944</v>
      </c>
      <c r="H30" s="47"/>
      <c r="I30" s="46"/>
      <c r="J30" s="49"/>
      <c r="K30" s="84"/>
      <c r="L30" s="84"/>
      <c r="M30" s="84"/>
      <c r="N30" s="122"/>
      <c r="P30" s="11" t="e">
        <f>+#REF!/$D$9*100</f>
        <v>#REF!</v>
      </c>
      <c r="R30" s="11"/>
      <c r="S30" s="11"/>
    </row>
    <row r="31" spans="1:30" s="2" customFormat="1" ht="22.5" x14ac:dyDescent="0.2">
      <c r="A31" s="127">
        <v>1385</v>
      </c>
      <c r="B31" s="85" t="s">
        <v>193</v>
      </c>
      <c r="C31" s="77"/>
      <c r="D31" s="222">
        <v>100426376</v>
      </c>
      <c r="E31" s="83">
        <v>100426376</v>
      </c>
      <c r="F31" s="83">
        <f t="shared" ref="F31:F32" si="11">+D31-E31</f>
        <v>0</v>
      </c>
      <c r="G31" s="137">
        <f t="shared" ref="G31:G32" si="12">+F31/E31</f>
        <v>0</v>
      </c>
      <c r="H31" s="47"/>
      <c r="I31" s="46"/>
      <c r="J31" s="49"/>
      <c r="K31" s="84"/>
      <c r="L31" s="84"/>
      <c r="M31" s="84"/>
      <c r="N31" s="122"/>
      <c r="P31" s="11"/>
      <c r="S31" s="11"/>
    </row>
    <row r="32" spans="1:30" s="2" customFormat="1" ht="22.5" x14ac:dyDescent="0.2">
      <c r="A32" s="127">
        <v>1386</v>
      </c>
      <c r="B32" s="85" t="s">
        <v>110</v>
      </c>
      <c r="C32" s="77"/>
      <c r="D32" s="222">
        <v>-100115086.26000001</v>
      </c>
      <c r="E32" s="222">
        <v>-99963195.260000005</v>
      </c>
      <c r="F32" s="83">
        <f t="shared" si="11"/>
        <v>-151891</v>
      </c>
      <c r="G32" s="137">
        <f t="shared" si="12"/>
        <v>1.519469236701948E-3</v>
      </c>
      <c r="H32" s="52"/>
      <c r="I32" s="85"/>
      <c r="J32" s="77"/>
      <c r="K32" s="83"/>
      <c r="L32" s="83"/>
      <c r="M32" s="83"/>
      <c r="N32" s="123"/>
      <c r="R32" s="11"/>
    </row>
    <row r="33" spans="1:26" s="2" customFormat="1" ht="21.75" customHeight="1" x14ac:dyDescent="0.2">
      <c r="A33" s="125">
        <v>16</v>
      </c>
      <c r="B33" s="51" t="s">
        <v>115</v>
      </c>
      <c r="C33" s="49"/>
      <c r="D33" s="84">
        <f>SUM(D34:D47)</f>
        <v>331531051609.43994</v>
      </c>
      <c r="E33" s="84">
        <f t="shared" ref="E33:F33" si="13">SUM(E34:E47)</f>
        <v>332358796862.87994</v>
      </c>
      <c r="F33" s="84">
        <f t="shared" si="13"/>
        <v>-827745253.43999648</v>
      </c>
      <c r="G33" s="136">
        <f>+F33/E33</f>
        <v>-2.4905170594341042E-3</v>
      </c>
      <c r="H33" s="47"/>
      <c r="I33" s="46" t="s">
        <v>139</v>
      </c>
      <c r="J33" s="141"/>
      <c r="K33" s="138">
        <f>+K35+K38</f>
        <v>644310570</v>
      </c>
      <c r="L33" s="138">
        <f t="shared" ref="L33:M33" si="14">+L35+L38</f>
        <v>609966839.38999999</v>
      </c>
      <c r="M33" s="138">
        <f t="shared" si="14"/>
        <v>34343730.610000014</v>
      </c>
      <c r="N33" s="140">
        <f>+M33/L33</f>
        <v>5.6304258514029405E-2</v>
      </c>
      <c r="P33" s="11"/>
      <c r="S33" s="11"/>
    </row>
    <row r="34" spans="1:26" s="2" customFormat="1" ht="19.5" customHeight="1" x14ac:dyDescent="0.2">
      <c r="A34" s="127">
        <v>1605</v>
      </c>
      <c r="B34" s="47" t="s">
        <v>14</v>
      </c>
      <c r="C34" s="77"/>
      <c r="D34" s="83">
        <v>268587060279.28</v>
      </c>
      <c r="E34" s="83">
        <v>268587060279.28</v>
      </c>
      <c r="F34" s="83">
        <f t="shared" ref="F34:F47" si="15">+D34-E34</f>
        <v>0</v>
      </c>
      <c r="G34" s="137">
        <f t="shared" ref="G34:G44" si="16">+F34/E34</f>
        <v>0</v>
      </c>
      <c r="H34" s="52"/>
      <c r="I34" s="85"/>
      <c r="J34" s="77"/>
      <c r="K34" s="83"/>
      <c r="L34" s="83"/>
      <c r="M34" s="83"/>
      <c r="N34" s="123"/>
      <c r="R34" s="11" t="e">
        <f>+#REF!/$K$36*100</f>
        <v>#REF!</v>
      </c>
      <c r="S34" s="11"/>
    </row>
    <row r="35" spans="1:26" s="2" customFormat="1" ht="23.25" customHeight="1" x14ac:dyDescent="0.2">
      <c r="A35" s="127">
        <v>1615</v>
      </c>
      <c r="B35" s="85" t="s">
        <v>116</v>
      </c>
      <c r="C35" s="177"/>
      <c r="D35" s="83">
        <v>249733128.78</v>
      </c>
      <c r="E35" s="83">
        <v>249733128.78</v>
      </c>
      <c r="F35" s="83">
        <f t="shared" si="15"/>
        <v>0</v>
      </c>
      <c r="G35" s="137">
        <f t="shared" si="16"/>
        <v>0</v>
      </c>
      <c r="H35" s="51">
        <v>25</v>
      </c>
      <c r="I35" s="99" t="s">
        <v>135</v>
      </c>
      <c r="J35" s="49"/>
      <c r="K35" s="84">
        <f>SUM(K36:K37)</f>
        <v>582016674</v>
      </c>
      <c r="L35" s="84">
        <f>SUM(L36:L37)</f>
        <v>534621734.38999999</v>
      </c>
      <c r="M35" s="84">
        <f>SUM(M36:M37)</f>
        <v>47394939.610000014</v>
      </c>
      <c r="N35" s="122">
        <f>+M35/L35</f>
        <v>8.8651352089299806E-2</v>
      </c>
      <c r="R35" s="11"/>
      <c r="S35" s="11"/>
    </row>
    <row r="36" spans="1:26" s="2" customFormat="1" ht="24.75" customHeight="1" x14ac:dyDescent="0.2">
      <c r="A36" s="127">
        <v>1635</v>
      </c>
      <c r="B36" s="85" t="s">
        <v>16</v>
      </c>
      <c r="C36" s="177"/>
      <c r="D36" s="222">
        <v>59667465</v>
      </c>
      <c r="E36" s="222">
        <v>157713554.62</v>
      </c>
      <c r="F36" s="83">
        <f t="shared" si="15"/>
        <v>-98046089.620000005</v>
      </c>
      <c r="G36" s="137">
        <f t="shared" si="16"/>
        <v>-0.62167192830213824</v>
      </c>
      <c r="H36" s="52">
        <v>2512</v>
      </c>
      <c r="I36" s="85" t="s">
        <v>140</v>
      </c>
      <c r="J36" s="77"/>
      <c r="K36" s="222">
        <v>582016674</v>
      </c>
      <c r="L36" s="222">
        <v>534621734.38999999</v>
      </c>
      <c r="M36" s="83">
        <f>+K36-L36</f>
        <v>47394939.610000014</v>
      </c>
      <c r="N36" s="123">
        <f>+M36/L36</f>
        <v>8.8651352089299806E-2</v>
      </c>
      <c r="R36" s="11"/>
      <c r="S36" s="11"/>
    </row>
    <row r="37" spans="1:26" s="2" customFormat="1" ht="22.5" x14ac:dyDescent="0.2">
      <c r="A37" s="127">
        <v>1637</v>
      </c>
      <c r="B37" s="85" t="s">
        <v>117</v>
      </c>
      <c r="C37" s="177"/>
      <c r="D37" s="222">
        <v>414636897.94999999</v>
      </c>
      <c r="E37" s="222">
        <v>359818144.76999998</v>
      </c>
      <c r="F37" s="83">
        <f t="shared" si="15"/>
        <v>54818753.180000007</v>
      </c>
      <c r="G37" s="137">
        <f t="shared" si="16"/>
        <v>0.15235127515606753</v>
      </c>
      <c r="H37" s="160"/>
      <c r="I37" s="85"/>
      <c r="J37" s="77"/>
      <c r="K37" s="83"/>
      <c r="L37" s="83"/>
      <c r="M37" s="83"/>
      <c r="N37" s="123"/>
      <c r="P37" s="44" t="e">
        <f>+#REF!/#REF!*100</f>
        <v>#REF!</v>
      </c>
      <c r="R37" s="11"/>
      <c r="S37" s="11"/>
      <c r="Z37" s="12"/>
    </row>
    <row r="38" spans="1:26" s="2" customFormat="1" ht="16.5" customHeight="1" x14ac:dyDescent="0.2">
      <c r="A38" s="127">
        <v>1640</v>
      </c>
      <c r="B38" s="85" t="s">
        <v>17</v>
      </c>
      <c r="C38" s="77"/>
      <c r="D38" s="222">
        <v>59024909680.839996</v>
      </c>
      <c r="E38" s="83">
        <v>59024909680.839996</v>
      </c>
      <c r="F38" s="83">
        <f t="shared" si="15"/>
        <v>0</v>
      </c>
      <c r="G38" s="137">
        <f t="shared" si="16"/>
        <v>0</v>
      </c>
      <c r="H38" s="51">
        <v>27</v>
      </c>
      <c r="I38" s="50" t="s">
        <v>137</v>
      </c>
      <c r="J38" s="49"/>
      <c r="K38" s="84">
        <f>+K39</f>
        <v>62293896</v>
      </c>
      <c r="L38" s="84">
        <f>+L39</f>
        <v>75345105</v>
      </c>
      <c r="M38" s="84">
        <f>SUM(M39:M40)</f>
        <v>-13051209</v>
      </c>
      <c r="N38" s="122">
        <f>+M38/L38</f>
        <v>-0.17321906977234952</v>
      </c>
      <c r="R38" s="11"/>
    </row>
    <row r="39" spans="1:26" s="2" customFormat="1" ht="16.5" customHeight="1" x14ac:dyDescent="0.2">
      <c r="A39" s="127">
        <v>1655</v>
      </c>
      <c r="B39" s="85" t="s">
        <v>19</v>
      </c>
      <c r="C39" s="177"/>
      <c r="D39" s="222">
        <v>2112810243.3</v>
      </c>
      <c r="E39" s="222">
        <v>2110883872.7</v>
      </c>
      <c r="F39" s="83">
        <f t="shared" si="15"/>
        <v>1926370.5999999046</v>
      </c>
      <c r="G39" s="137">
        <f t="shared" si="16"/>
        <v>9.1258956729624015E-4</v>
      </c>
      <c r="H39" s="52">
        <v>2701</v>
      </c>
      <c r="I39" s="85" t="s">
        <v>28</v>
      </c>
      <c r="J39" s="77"/>
      <c r="K39" s="83">
        <v>62293896</v>
      </c>
      <c r="L39" s="83">
        <v>75345105</v>
      </c>
      <c r="M39" s="83">
        <f>+K39-L39</f>
        <v>-13051209</v>
      </c>
      <c r="N39" s="123">
        <f>+M39/L39</f>
        <v>-0.17321906977234952</v>
      </c>
      <c r="P39" s="44">
        <f>+D33/D56*100</f>
        <v>53.177316007886567</v>
      </c>
      <c r="R39" s="11"/>
      <c r="S39" s="11"/>
    </row>
    <row r="40" spans="1:26" s="2" customFormat="1" ht="15.75" customHeight="1" x14ac:dyDescent="0.2">
      <c r="A40" s="127">
        <v>1660</v>
      </c>
      <c r="B40" s="85" t="s">
        <v>118</v>
      </c>
      <c r="C40" s="177"/>
      <c r="D40" s="222">
        <v>2492226612.46</v>
      </c>
      <c r="E40" s="222">
        <v>2510550964.46</v>
      </c>
      <c r="F40" s="83">
        <f t="shared" si="15"/>
        <v>-18324352</v>
      </c>
      <c r="G40" s="137">
        <f t="shared" si="16"/>
        <v>-7.2989364722740955E-3</v>
      </c>
      <c r="H40" s="47"/>
      <c r="I40" s="47"/>
      <c r="J40" s="77"/>
      <c r="K40" s="83"/>
      <c r="L40" s="83"/>
      <c r="M40" s="83"/>
      <c r="N40" s="123"/>
      <c r="P40" s="11">
        <f>+D34/$D$33*100</f>
        <v>81.014149044382407</v>
      </c>
      <c r="R40" s="11"/>
      <c r="S40" s="11"/>
    </row>
    <row r="41" spans="1:26" s="2" customFormat="1" ht="24" customHeight="1" x14ac:dyDescent="0.2">
      <c r="A41" s="127">
        <v>1665</v>
      </c>
      <c r="B41" s="85" t="s">
        <v>119</v>
      </c>
      <c r="C41" s="177"/>
      <c r="D41" s="222">
        <v>2176660001</v>
      </c>
      <c r="E41" s="222">
        <v>2192249401.29</v>
      </c>
      <c r="F41" s="83">
        <f t="shared" si="15"/>
        <v>-15589400.289999962</v>
      </c>
      <c r="G41" s="137">
        <f t="shared" si="16"/>
        <v>-7.1111435956267505E-3</v>
      </c>
      <c r="H41" s="47"/>
      <c r="I41" s="46" t="s">
        <v>13</v>
      </c>
      <c r="J41" s="49"/>
      <c r="K41" s="138">
        <f>+K9+K33</f>
        <v>37340055689.089996</v>
      </c>
      <c r="L41" s="138">
        <f>+L9+L33</f>
        <v>38908049323.169998</v>
      </c>
      <c r="M41" s="138">
        <f>+M9+M33</f>
        <v>-1567993634.0800004</v>
      </c>
      <c r="N41" s="140">
        <f>+M41/L41</f>
        <v>-4.0299980630132744E-2</v>
      </c>
      <c r="P41" s="11"/>
      <c r="R41" s="11"/>
      <c r="S41" s="11"/>
    </row>
    <row r="42" spans="1:26" s="2" customFormat="1" ht="21.95" customHeight="1" x14ac:dyDescent="0.2">
      <c r="A42" s="127">
        <v>1670</v>
      </c>
      <c r="B42" s="85" t="s">
        <v>120</v>
      </c>
      <c r="C42" s="177"/>
      <c r="D42" s="222">
        <v>12830983922.91</v>
      </c>
      <c r="E42" s="222">
        <v>12940428591.959999</v>
      </c>
      <c r="F42" s="83">
        <f t="shared" si="15"/>
        <v>-109444669.04999924</v>
      </c>
      <c r="G42" s="137">
        <f t="shared" si="16"/>
        <v>-8.4575768315740454E-3</v>
      </c>
      <c r="H42" s="47"/>
      <c r="I42" s="46"/>
      <c r="J42" s="49"/>
      <c r="K42" s="208"/>
      <c r="L42" s="208"/>
      <c r="M42" s="208"/>
      <c r="N42" s="209"/>
      <c r="P42" s="33">
        <f>+D35/$D$33*100</f>
        <v>7.5327221256547047E-2</v>
      </c>
      <c r="Q42" s="11">
        <f>+D33/D56*100</f>
        <v>53.177316007886567</v>
      </c>
      <c r="R42" s="11"/>
      <c r="S42" s="11"/>
    </row>
    <row r="43" spans="1:26" s="2" customFormat="1" ht="21.75" customHeight="1" x14ac:dyDescent="0.2">
      <c r="A43" s="127">
        <v>1675</v>
      </c>
      <c r="B43" s="85" t="s">
        <v>121</v>
      </c>
      <c r="C43" s="177"/>
      <c r="D43" s="222">
        <v>1929741121</v>
      </c>
      <c r="E43" s="222">
        <v>1929741121</v>
      </c>
      <c r="F43" s="83">
        <f t="shared" si="15"/>
        <v>0</v>
      </c>
      <c r="G43" s="137">
        <f t="shared" si="16"/>
        <v>0</v>
      </c>
      <c r="H43" s="47"/>
      <c r="I43" s="46"/>
      <c r="J43" s="49"/>
      <c r="K43" s="84"/>
      <c r="L43" s="84"/>
      <c r="M43" s="84"/>
      <c r="N43" s="122"/>
      <c r="R43" s="11"/>
      <c r="S43" s="11"/>
    </row>
    <row r="44" spans="1:26" s="2" customFormat="1" ht="22.5" customHeight="1" x14ac:dyDescent="0.2">
      <c r="A44" s="127">
        <v>1680</v>
      </c>
      <c r="B44" s="85" t="s">
        <v>122</v>
      </c>
      <c r="C44" s="177"/>
      <c r="D44" s="222">
        <v>670764729.19000006</v>
      </c>
      <c r="E44" s="222">
        <v>670432676.19000006</v>
      </c>
      <c r="F44" s="83">
        <f t="shared" si="15"/>
        <v>332053</v>
      </c>
      <c r="G44" s="137">
        <f t="shared" si="16"/>
        <v>4.9528164690155476E-4</v>
      </c>
      <c r="H44" s="53"/>
      <c r="I44" s="47"/>
      <c r="J44" s="77"/>
      <c r="K44" s="210"/>
      <c r="L44" s="210"/>
      <c r="M44" s="210"/>
      <c r="N44" s="211"/>
      <c r="P44" s="11"/>
      <c r="R44" s="11"/>
      <c r="S44" s="11"/>
    </row>
    <row r="45" spans="1:26" s="2" customFormat="1" ht="19.5" customHeight="1" x14ac:dyDescent="0.2">
      <c r="A45" s="127">
        <v>1681</v>
      </c>
      <c r="B45" s="85" t="s">
        <v>23</v>
      </c>
      <c r="C45" s="177"/>
      <c r="D45" s="222">
        <v>1714231433.1099999</v>
      </c>
      <c r="E45" s="222">
        <v>1684710031.6700001</v>
      </c>
      <c r="F45" s="83">
        <f t="shared" si="15"/>
        <v>29521401.439999819</v>
      </c>
      <c r="G45" s="137">
        <f>+F45/E45</f>
        <v>1.7523135070749346E-2</v>
      </c>
      <c r="H45" s="47"/>
      <c r="I45" s="214" t="s">
        <v>15</v>
      </c>
      <c r="J45" s="49"/>
      <c r="K45" s="138">
        <f>+K48</f>
        <v>586104443766.78992</v>
      </c>
      <c r="L45" s="138">
        <f>+L48</f>
        <v>576306553360.9801</v>
      </c>
      <c r="M45" s="138">
        <f>+M48</f>
        <v>9797890405.8099709</v>
      </c>
      <c r="N45" s="140">
        <f>+M45/L45</f>
        <v>1.7001178190095792E-2</v>
      </c>
      <c r="P45" s="11"/>
      <c r="R45" s="11"/>
      <c r="S45" s="11"/>
    </row>
    <row r="46" spans="1:26" s="2" customFormat="1" ht="22.5" x14ac:dyDescent="0.2">
      <c r="A46" s="120">
        <v>1685</v>
      </c>
      <c r="B46" s="85" t="s">
        <v>123</v>
      </c>
      <c r="C46" s="77"/>
      <c r="D46" s="222">
        <v>-20482640776.599998</v>
      </c>
      <c r="E46" s="222">
        <v>-19809701455.900002</v>
      </c>
      <c r="F46" s="83">
        <f t="shared" si="15"/>
        <v>-672939320.69999695</v>
      </c>
      <c r="G46" s="137">
        <f>+F46/E46</f>
        <v>3.3970189919221259E-2</v>
      </c>
      <c r="H46" s="53"/>
      <c r="I46" s="47"/>
      <c r="J46" s="77"/>
      <c r="K46" s="84"/>
      <c r="L46" s="84"/>
      <c r="M46" s="84"/>
      <c r="N46" s="128"/>
      <c r="P46" s="11">
        <f>+D37/$D$33*100</f>
        <v>0.12506728885186383</v>
      </c>
      <c r="R46" s="11">
        <f>+K42/$K$39*100</f>
        <v>0</v>
      </c>
      <c r="S46" s="11"/>
    </row>
    <row r="47" spans="1:26" s="2" customFormat="1" ht="21.75" customHeight="1" x14ac:dyDescent="0.2">
      <c r="A47" s="120">
        <v>1695</v>
      </c>
      <c r="B47" s="85" t="s">
        <v>228</v>
      </c>
      <c r="C47" s="77"/>
      <c r="D47" s="222">
        <v>-249733128.78</v>
      </c>
      <c r="E47" s="83">
        <v>-249733128.78</v>
      </c>
      <c r="F47" s="83">
        <f t="shared" si="15"/>
        <v>0</v>
      </c>
      <c r="G47" s="137">
        <f>+F47/E47</f>
        <v>0</v>
      </c>
      <c r="H47" s="53"/>
      <c r="I47" s="47"/>
      <c r="J47" s="77"/>
      <c r="K47" s="84"/>
      <c r="L47" s="84"/>
      <c r="M47" s="84"/>
      <c r="N47" s="128"/>
      <c r="P47" s="33">
        <f>+D38/$D$33*100</f>
        <v>17.803734942564077</v>
      </c>
      <c r="R47" s="11">
        <f>+K45/$K$39*100</f>
        <v>940869.78243709449</v>
      </c>
      <c r="S47" s="11"/>
    </row>
    <row r="48" spans="1:26" s="2" customFormat="1" ht="21.95" customHeight="1" x14ac:dyDescent="0.2">
      <c r="A48" s="125">
        <v>17</v>
      </c>
      <c r="B48" s="151" t="s">
        <v>21</v>
      </c>
      <c r="C48" s="49"/>
      <c r="D48" s="84">
        <f>+D49</f>
        <v>46206747.32</v>
      </c>
      <c r="E48" s="84">
        <f>+E49</f>
        <v>46206747.32</v>
      </c>
      <c r="F48" s="84">
        <f>+F49</f>
        <v>0</v>
      </c>
      <c r="G48" s="136">
        <f>+F48/E48</f>
        <v>0</v>
      </c>
      <c r="H48" s="51">
        <v>31</v>
      </c>
      <c r="I48" s="151" t="s">
        <v>150</v>
      </c>
      <c r="J48" s="49"/>
      <c r="K48" s="84">
        <f>SUM(K49:K52)</f>
        <v>586104443766.78992</v>
      </c>
      <c r="L48" s="84">
        <f>SUM(L49:L52)</f>
        <v>576306553360.9801</v>
      </c>
      <c r="M48" s="84">
        <f>SUM(M49:M52)</f>
        <v>9797890405.8099709</v>
      </c>
      <c r="N48" s="122">
        <f t="shared" ref="N48:N50" si="17">+M48/L48</f>
        <v>1.7001178190095792E-2</v>
      </c>
      <c r="P48" s="11">
        <f>+D40/$D$33*100</f>
        <v>0.75173248489434608</v>
      </c>
      <c r="R48" s="11">
        <f>+K46/$K$39*100</f>
        <v>0</v>
      </c>
      <c r="S48" s="11"/>
    </row>
    <row r="49" spans="1:26" s="2" customFormat="1" ht="19.5" customHeight="1" x14ac:dyDescent="0.2">
      <c r="A49" s="127">
        <v>1715</v>
      </c>
      <c r="B49" s="54" t="s">
        <v>22</v>
      </c>
      <c r="C49" s="78"/>
      <c r="D49" s="83">
        <v>46206747.32</v>
      </c>
      <c r="E49" s="83">
        <v>46206747.32</v>
      </c>
      <c r="F49" s="83">
        <f>+D49-E49</f>
        <v>0</v>
      </c>
      <c r="G49" s="137">
        <f>+F49/E49</f>
        <v>0</v>
      </c>
      <c r="H49" s="52">
        <v>3105</v>
      </c>
      <c r="I49" s="85" t="s">
        <v>18</v>
      </c>
      <c r="J49" s="77"/>
      <c r="K49" s="83">
        <v>44239962579.480003</v>
      </c>
      <c r="L49" s="222">
        <v>44239962579.480003</v>
      </c>
      <c r="M49" s="83">
        <f>+K49-L49</f>
        <v>0</v>
      </c>
      <c r="N49" s="123">
        <f>+M49/L49</f>
        <v>0</v>
      </c>
      <c r="P49" s="11">
        <f>+D41/$D$33*100</f>
        <v>0.65654785288836648</v>
      </c>
      <c r="R49" s="11" t="e">
        <f>+#REF!/$K$39*100</f>
        <v>#REF!</v>
      </c>
      <c r="S49" s="11"/>
    </row>
    <row r="50" spans="1:26" s="2" customFormat="1" ht="24.75" customHeight="1" x14ac:dyDescent="0.2">
      <c r="A50" s="125">
        <v>19</v>
      </c>
      <c r="B50" s="50" t="s">
        <v>11</v>
      </c>
      <c r="C50" s="49"/>
      <c r="D50" s="84">
        <f>SUM(D51:D55)</f>
        <v>2020149983.8399999</v>
      </c>
      <c r="E50" s="84">
        <f>SUM(E51:E55)</f>
        <v>1859261140.8299999</v>
      </c>
      <c r="F50" s="84">
        <f>SUM(F51:F55)</f>
        <v>160888843.01000011</v>
      </c>
      <c r="G50" s="136">
        <f t="shared" ref="G50" si="18">+F50/E50</f>
        <v>8.6533752293761756E-2</v>
      </c>
      <c r="H50" s="52">
        <v>3109</v>
      </c>
      <c r="I50" s="85" t="s">
        <v>151</v>
      </c>
      <c r="J50" s="77"/>
      <c r="K50" s="222">
        <v>509801659885.22998</v>
      </c>
      <c r="L50" s="222">
        <v>508654632194.31</v>
      </c>
      <c r="M50" s="83">
        <f>+K50-L50</f>
        <v>1147027690.9199829</v>
      </c>
      <c r="N50" s="123">
        <f t="shared" si="17"/>
        <v>2.2550225994635385E-3</v>
      </c>
      <c r="P50" s="33">
        <f>+D42/$D$33*100</f>
        <v>3.8702208618532472</v>
      </c>
      <c r="R50" s="11"/>
      <c r="S50" s="11"/>
    </row>
    <row r="51" spans="1:26" s="2" customFormat="1" ht="22.5" x14ac:dyDescent="0.2">
      <c r="A51" s="127">
        <v>1905</v>
      </c>
      <c r="B51" s="85" t="s">
        <v>229</v>
      </c>
      <c r="C51" s="77"/>
      <c r="D51" s="222">
        <v>110208166.59999999</v>
      </c>
      <c r="E51" s="222">
        <v>110208166.59999999</v>
      </c>
      <c r="F51" s="83">
        <f>+D51-E51</f>
        <v>0</v>
      </c>
      <c r="G51" s="137">
        <f>+F51/E51</f>
        <v>0</v>
      </c>
      <c r="H51" s="52">
        <v>3110</v>
      </c>
      <c r="I51" s="85" t="s">
        <v>20</v>
      </c>
      <c r="J51" s="77"/>
      <c r="K51" s="83">
        <v>32062821302.079994</v>
      </c>
      <c r="L51" s="83">
        <v>23411958587.190006</v>
      </c>
      <c r="M51" s="83">
        <f>+K51-L51</f>
        <v>8650862714.8899879</v>
      </c>
      <c r="N51" s="123">
        <f>+M51/L51</f>
        <v>0.36950615142568033</v>
      </c>
      <c r="P51" s="11">
        <f>+D43/$D$33*100</f>
        <v>0.5820694959437257</v>
      </c>
      <c r="R51" s="11"/>
      <c r="S51" s="11"/>
      <c r="Y51" s="12"/>
    </row>
    <row r="52" spans="1:26" s="2" customFormat="1" ht="22.5" x14ac:dyDescent="0.2">
      <c r="A52" s="127">
        <v>1908</v>
      </c>
      <c r="B52" s="85" t="s">
        <v>239</v>
      </c>
      <c r="C52" s="77"/>
      <c r="D52" s="222">
        <v>245947886.13999999</v>
      </c>
      <c r="E52" s="222">
        <v>0</v>
      </c>
      <c r="F52" s="83">
        <f>+D52-E52</f>
        <v>245947886.13999999</v>
      </c>
      <c r="G52" s="213" t="s">
        <v>6</v>
      </c>
      <c r="H52" s="52"/>
      <c r="I52" s="85"/>
      <c r="J52" s="77"/>
      <c r="K52" s="83"/>
      <c r="L52" s="83"/>
      <c r="M52" s="83"/>
      <c r="N52" s="123"/>
      <c r="P52" s="11"/>
      <c r="R52" s="11"/>
      <c r="S52" s="11"/>
      <c r="Y52" s="12"/>
    </row>
    <row r="53" spans="1:26" s="2" customFormat="1" ht="24.75" customHeight="1" x14ac:dyDescent="0.2">
      <c r="A53" s="127">
        <v>1909</v>
      </c>
      <c r="B53" s="85" t="s">
        <v>124</v>
      </c>
      <c r="C53" s="77"/>
      <c r="D53" s="222">
        <v>1263704</v>
      </c>
      <c r="E53" s="222">
        <v>1263704</v>
      </c>
      <c r="F53" s="83">
        <f>+D53-E53</f>
        <v>0</v>
      </c>
      <c r="G53" s="137">
        <f>+F53/E53</f>
        <v>0</v>
      </c>
      <c r="H53" s="47"/>
      <c r="I53" s="47"/>
      <c r="J53" s="77"/>
      <c r="K53" s="83"/>
      <c r="L53" s="83"/>
      <c r="M53" s="83"/>
      <c r="N53" s="128"/>
      <c r="P53" s="11">
        <f>+D44/$D$33*100</f>
        <v>0.20232334978389724</v>
      </c>
      <c r="R53" s="11"/>
      <c r="S53" s="11"/>
      <c r="Y53" s="12"/>
      <c r="Z53" s="12"/>
    </row>
    <row r="54" spans="1:26" s="2" customFormat="1" ht="16.5" customHeight="1" x14ac:dyDescent="0.2">
      <c r="A54" s="127">
        <v>1970</v>
      </c>
      <c r="B54" s="85" t="s">
        <v>125</v>
      </c>
      <c r="C54" s="77"/>
      <c r="D54" s="222">
        <v>3028983845.6700001</v>
      </c>
      <c r="E54" s="222">
        <v>3214036864.6700001</v>
      </c>
      <c r="F54" s="83">
        <f>+D54-E54</f>
        <v>-185053019</v>
      </c>
      <c r="G54" s="137">
        <f t="shared" ref="G54:G55" si="19">+F54/E54</f>
        <v>-5.7576507921915279E-2</v>
      </c>
      <c r="H54" s="47"/>
      <c r="I54" s="47"/>
      <c r="J54" s="77"/>
      <c r="K54" s="83"/>
      <c r="L54" s="83"/>
      <c r="M54" s="83"/>
      <c r="N54" s="128"/>
      <c r="R54" s="11"/>
      <c r="S54" s="11"/>
      <c r="Y54" s="12">
        <f>+D56-K56</f>
        <v>0</v>
      </c>
      <c r="Z54" s="12">
        <f>+E56-L56</f>
        <v>0</v>
      </c>
    </row>
    <row r="55" spans="1:26" s="2" customFormat="1" ht="21.75" customHeight="1" x14ac:dyDescent="0.2">
      <c r="A55" s="120">
        <v>1975</v>
      </c>
      <c r="B55" s="85" t="s">
        <v>126</v>
      </c>
      <c r="C55" s="77"/>
      <c r="D55" s="222">
        <v>-1366253618.5699999</v>
      </c>
      <c r="E55" s="222">
        <v>-1466247594.4400001</v>
      </c>
      <c r="F55" s="83">
        <f>+D55-E55</f>
        <v>99993975.870000124</v>
      </c>
      <c r="G55" s="137">
        <f t="shared" si="19"/>
        <v>-6.8197196878055616E-2</v>
      </c>
      <c r="H55" s="47"/>
      <c r="I55" s="47"/>
      <c r="J55" s="77"/>
      <c r="K55" s="83"/>
      <c r="L55" s="83"/>
      <c r="M55" s="83"/>
      <c r="N55" s="128"/>
      <c r="Q55" s="11" t="e">
        <f>+#REF!/D56*100</f>
        <v>#REF!</v>
      </c>
      <c r="R55" s="11"/>
      <c r="S55" s="11"/>
    </row>
    <row r="56" spans="1:26" s="2" customFormat="1" ht="20.25" customHeight="1" thickBot="1" x14ac:dyDescent="0.25">
      <c r="A56" s="144"/>
      <c r="B56" s="145" t="s">
        <v>24</v>
      </c>
      <c r="C56" s="146"/>
      <c r="D56" s="147">
        <f>+D9+D29</f>
        <v>623444499455.88</v>
      </c>
      <c r="E56" s="147">
        <f>+E9+E29</f>
        <v>615214602684.1499</v>
      </c>
      <c r="F56" s="147">
        <f>+F9+F29</f>
        <v>8229896771.7300529</v>
      </c>
      <c r="G56" s="148">
        <f>+F56/E56</f>
        <v>1.3377278003193412E-2</v>
      </c>
      <c r="H56" s="149"/>
      <c r="I56" s="145" t="s">
        <v>25</v>
      </c>
      <c r="J56" s="146"/>
      <c r="K56" s="147">
        <f>+K41+K45</f>
        <v>623444499455.87988</v>
      </c>
      <c r="L56" s="147">
        <f>+L41+L45</f>
        <v>615214602684.15015</v>
      </c>
      <c r="M56" s="147">
        <f>+M41+M45</f>
        <v>8229896771.7299709</v>
      </c>
      <c r="N56" s="150">
        <f>+M56/L56</f>
        <v>1.3377278003193273E-2</v>
      </c>
      <c r="R56" s="11"/>
      <c r="S56" s="11"/>
    </row>
    <row r="57" spans="1:26" s="2" customFormat="1" ht="21.75" customHeight="1" x14ac:dyDescent="0.2">
      <c r="A57" s="155">
        <v>8</v>
      </c>
      <c r="B57" s="152" t="s">
        <v>26</v>
      </c>
      <c r="C57" s="153"/>
      <c r="D57" s="154">
        <f>+D58+D64+D61</f>
        <v>0</v>
      </c>
      <c r="E57" s="154">
        <f>+E58+E64+E61</f>
        <v>0</v>
      </c>
      <c r="F57" s="154">
        <f>+F58+F64+F61</f>
        <v>0</v>
      </c>
      <c r="G57" s="190">
        <v>0</v>
      </c>
      <c r="H57" s="191">
        <v>9</v>
      </c>
      <c r="I57" s="178" t="s">
        <v>27</v>
      </c>
      <c r="J57" s="153"/>
      <c r="K57" s="154">
        <f>+K58+K62+K64</f>
        <v>0</v>
      </c>
      <c r="L57" s="154">
        <f>+L58+L62+L64</f>
        <v>0</v>
      </c>
      <c r="M57" s="154">
        <f>+M58+M62+M64</f>
        <v>0</v>
      </c>
      <c r="N57" s="156">
        <v>0</v>
      </c>
      <c r="O57" s="12"/>
      <c r="Q57" s="12"/>
      <c r="R57" s="11"/>
      <c r="S57" s="11"/>
    </row>
    <row r="58" spans="1:26" s="2" customFormat="1" ht="24" customHeight="1" x14ac:dyDescent="0.2">
      <c r="A58" s="125">
        <v>81</v>
      </c>
      <c r="B58" s="46" t="s">
        <v>141</v>
      </c>
      <c r="C58" s="49"/>
      <c r="D58" s="84">
        <f>SUM(D59:D60)</f>
        <v>431115490.60000002</v>
      </c>
      <c r="E58" s="84">
        <f t="shared" ref="E58:F58" si="20">SUM(E59:E60)</f>
        <v>915201158</v>
      </c>
      <c r="F58" s="84">
        <f t="shared" si="20"/>
        <v>-484085667.39999998</v>
      </c>
      <c r="G58" s="189">
        <f>+F58/E58</f>
        <v>-0.52893908969463954</v>
      </c>
      <c r="H58" s="192">
        <v>91</v>
      </c>
      <c r="I58" s="50" t="s">
        <v>145</v>
      </c>
      <c r="J58" s="49"/>
      <c r="K58" s="84">
        <f>SUM(K59:K61)</f>
        <v>6450320797.6000004</v>
      </c>
      <c r="L58" s="84">
        <f>SUM(L59:L61)</f>
        <v>5473649416.04</v>
      </c>
      <c r="M58" s="84">
        <f>SUM(M59:M61)</f>
        <v>976671381.56000006</v>
      </c>
      <c r="N58" s="122">
        <f>+M58/L58</f>
        <v>0.17843148278696094</v>
      </c>
      <c r="P58" s="12">
        <f>+D56-K56</f>
        <v>0</v>
      </c>
    </row>
    <row r="59" spans="1:26" s="2" customFormat="1" ht="33.75" x14ac:dyDescent="0.2">
      <c r="A59" s="124">
        <v>8120</v>
      </c>
      <c r="B59" s="85" t="s">
        <v>142</v>
      </c>
      <c r="C59" s="77"/>
      <c r="D59" s="222">
        <v>13584767.6</v>
      </c>
      <c r="E59" s="83">
        <v>13544742</v>
      </c>
      <c r="F59" s="83">
        <f>+D59-E59</f>
        <v>40025.599999999627</v>
      </c>
      <c r="G59" s="184">
        <f>+F59/E59</f>
        <v>2.9550655154597723E-3</v>
      </c>
      <c r="H59" s="187">
        <v>9120</v>
      </c>
      <c r="I59" s="85" t="s">
        <v>142</v>
      </c>
      <c r="J59" s="77"/>
      <c r="K59" s="222">
        <v>1148808091</v>
      </c>
      <c r="L59" s="222">
        <v>0</v>
      </c>
      <c r="M59" s="83">
        <f>+K59-L59</f>
        <v>1148808091</v>
      </c>
      <c r="N59" s="126" t="s">
        <v>6</v>
      </c>
    </row>
    <row r="60" spans="1:26" s="2" customFormat="1" ht="20.25" customHeight="1" x14ac:dyDescent="0.2">
      <c r="A60" s="124">
        <v>8190</v>
      </c>
      <c r="B60" s="85" t="s">
        <v>143</v>
      </c>
      <c r="C60" s="77"/>
      <c r="D60" s="222">
        <v>417530723</v>
      </c>
      <c r="E60" s="83">
        <v>901656416</v>
      </c>
      <c r="F60" s="83">
        <f>+D60-E60</f>
        <v>-484125693</v>
      </c>
      <c r="G60" s="184">
        <f>+F60/E60</f>
        <v>-0.53692923868685694</v>
      </c>
      <c r="H60" s="187">
        <v>9128</v>
      </c>
      <c r="I60" s="85" t="s">
        <v>146</v>
      </c>
      <c r="J60" s="77"/>
      <c r="K60" s="222">
        <v>966121051.60000002</v>
      </c>
      <c r="L60" s="83">
        <v>1545347654.04</v>
      </c>
      <c r="M60" s="83">
        <f>+K60-L60</f>
        <v>-579226602.43999994</v>
      </c>
      <c r="N60" s="123">
        <f t="shared" ref="N60:N63" si="21">+M60/L60</f>
        <v>-0.3748196083423227</v>
      </c>
    </row>
    <row r="61" spans="1:26" s="2" customFormat="1" ht="21" customHeight="1" x14ac:dyDescent="0.2">
      <c r="A61" s="125"/>
      <c r="B61" s="99"/>
      <c r="C61" s="77"/>
      <c r="D61" s="87"/>
      <c r="E61" s="87"/>
      <c r="F61" s="87"/>
      <c r="G61" s="159"/>
      <c r="H61" s="187">
        <v>9190</v>
      </c>
      <c r="I61" s="85" t="s">
        <v>201</v>
      </c>
      <c r="J61" s="77"/>
      <c r="K61" s="222">
        <v>4335391655</v>
      </c>
      <c r="L61" s="83">
        <v>3928301762</v>
      </c>
      <c r="M61" s="83">
        <f>+K61-L61</f>
        <v>407089893</v>
      </c>
      <c r="N61" s="123">
        <f t="shared" si="21"/>
        <v>0.10362999526613251</v>
      </c>
    </row>
    <row r="62" spans="1:26" s="2" customFormat="1" ht="21" customHeight="1" x14ac:dyDescent="0.2">
      <c r="A62" s="125"/>
      <c r="B62" s="99"/>
      <c r="C62" s="77"/>
      <c r="D62" s="87"/>
      <c r="E62" s="87"/>
      <c r="F62" s="87"/>
      <c r="G62" s="159"/>
      <c r="H62" s="192">
        <v>93</v>
      </c>
      <c r="I62" s="50" t="s">
        <v>212</v>
      </c>
      <c r="J62" s="49"/>
      <c r="K62" s="84">
        <f>SUM(K63)</f>
        <v>18431617000</v>
      </c>
      <c r="L62" s="84">
        <f>SUM(L63)</f>
        <v>10468817000</v>
      </c>
      <c r="M62" s="84">
        <f>SUM(M63)</f>
        <v>7962800000</v>
      </c>
      <c r="N62" s="122">
        <f>+M62/L62</f>
        <v>0.76062080366864759</v>
      </c>
    </row>
    <row r="63" spans="1:26" s="2" customFormat="1" ht="22.5" x14ac:dyDescent="0.2">
      <c r="A63" s="125"/>
      <c r="B63" s="99"/>
      <c r="C63" s="77"/>
      <c r="D63" s="87"/>
      <c r="E63" s="87"/>
      <c r="F63" s="87"/>
      <c r="G63" s="159"/>
      <c r="H63" s="187">
        <v>9390</v>
      </c>
      <c r="I63" s="85" t="s">
        <v>232</v>
      </c>
      <c r="J63" s="77"/>
      <c r="K63" s="222">
        <v>18431617000</v>
      </c>
      <c r="L63" s="83">
        <v>10468817000</v>
      </c>
      <c r="M63" s="83">
        <f>+K63-L63</f>
        <v>7962800000</v>
      </c>
      <c r="N63" s="123">
        <f t="shared" si="21"/>
        <v>0.76062080366864759</v>
      </c>
      <c r="V63" s="90"/>
    </row>
    <row r="64" spans="1:26" s="2" customFormat="1" ht="22.5" x14ac:dyDescent="0.2">
      <c r="A64" s="125">
        <v>89</v>
      </c>
      <c r="B64" s="50" t="s">
        <v>199</v>
      </c>
      <c r="C64" s="49"/>
      <c r="D64" s="84">
        <f>SUM(D65:D66)</f>
        <v>-431115490.60000002</v>
      </c>
      <c r="E64" s="84">
        <f>SUM(E65:E66)</f>
        <v>-915201158</v>
      </c>
      <c r="F64" s="84">
        <f>SUM(F65:F66)</f>
        <v>484085667.39999998</v>
      </c>
      <c r="G64" s="186">
        <f>+F64/E64</f>
        <v>-0.52893908969463954</v>
      </c>
      <c r="H64" s="188">
        <v>99</v>
      </c>
      <c r="I64" s="99" t="s">
        <v>198</v>
      </c>
      <c r="J64" s="49"/>
      <c r="K64" s="87">
        <f>SUM(K65:K66)</f>
        <v>-24881937797.599998</v>
      </c>
      <c r="L64" s="87">
        <f>SUM(L65:L66)</f>
        <v>-15942466416.040001</v>
      </c>
      <c r="M64" s="87">
        <f>SUM(M65:M66)</f>
        <v>-8939471381.5600014</v>
      </c>
      <c r="N64" s="193">
        <f>+M64/L64</f>
        <v>0.56073327352697688</v>
      </c>
      <c r="U64" s="90"/>
      <c r="V64" s="90"/>
    </row>
    <row r="65" spans="1:20" ht="22.5" x14ac:dyDescent="0.2">
      <c r="A65" s="124">
        <v>8905</v>
      </c>
      <c r="B65" s="85" t="s">
        <v>144</v>
      </c>
      <c r="C65" s="49"/>
      <c r="D65" s="222">
        <v>-431115490.60000002</v>
      </c>
      <c r="E65" s="83">
        <v>-915201158</v>
      </c>
      <c r="F65" s="83">
        <f>+D65-E65</f>
        <v>484085667.39999998</v>
      </c>
      <c r="G65" s="194">
        <f>+F65/E65</f>
        <v>-0.52893908969463954</v>
      </c>
      <c r="H65" s="55">
        <v>9905</v>
      </c>
      <c r="I65" s="85" t="s">
        <v>203</v>
      </c>
      <c r="J65" s="49"/>
      <c r="K65" s="83">
        <v>-6450320797.6000004</v>
      </c>
      <c r="L65" s="83">
        <v>-5473649416.04</v>
      </c>
      <c r="M65" s="83">
        <f>+K65-L65</f>
        <v>-976671381.56000042</v>
      </c>
      <c r="N65" s="126">
        <f t="shared" ref="N65:N66" si="22">+M65/L65</f>
        <v>0.178431482786961</v>
      </c>
      <c r="O65" s="2"/>
      <c r="P65" s="2"/>
      <c r="Q65" s="2"/>
      <c r="R65" s="2"/>
      <c r="S65" s="2"/>
      <c r="T65" s="2"/>
    </row>
    <row r="66" spans="1:20" ht="22.5" x14ac:dyDescent="0.2">
      <c r="A66" s="124"/>
      <c r="B66" s="85"/>
      <c r="C66" s="77"/>
      <c r="D66" s="88"/>
      <c r="E66" s="88"/>
      <c r="F66" s="83"/>
      <c r="G66" s="195"/>
      <c r="H66" s="55">
        <v>9915</v>
      </c>
      <c r="I66" s="85" t="s">
        <v>206</v>
      </c>
      <c r="J66" s="77"/>
      <c r="K66" s="83">
        <v>-18431617000</v>
      </c>
      <c r="L66" s="83">
        <v>-10468817000</v>
      </c>
      <c r="M66" s="83">
        <f>+K66-L66</f>
        <v>-7962800000</v>
      </c>
      <c r="N66" s="126">
        <f t="shared" si="22"/>
        <v>0.76062080366864759</v>
      </c>
      <c r="O66" s="2"/>
      <c r="P66" s="2"/>
      <c r="Q66" s="2"/>
      <c r="R66" s="2"/>
      <c r="S66" s="2"/>
      <c r="T66" s="2"/>
    </row>
    <row r="67" spans="1:20" ht="24" customHeight="1" x14ac:dyDescent="0.2">
      <c r="A67" s="124"/>
      <c r="B67" s="85"/>
      <c r="C67" s="77"/>
      <c r="D67" s="88"/>
      <c r="E67" s="88"/>
      <c r="F67" s="83"/>
      <c r="G67" s="185"/>
      <c r="H67" s="55"/>
      <c r="I67" s="85"/>
      <c r="J67" s="77"/>
      <c r="K67" s="88"/>
      <c r="L67" s="88"/>
      <c r="M67" s="83"/>
      <c r="N67" s="126"/>
    </row>
    <row r="68" spans="1:20" ht="40.5" hidden="1" customHeight="1" x14ac:dyDescent="0.2">
      <c r="A68" s="251" t="s">
        <v>244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1"/>
    </row>
    <row r="69" spans="1:20" hidden="1" x14ac:dyDescent="0.2">
      <c r="A69" s="113"/>
      <c r="B69" s="6"/>
      <c r="C69" s="79"/>
      <c r="D69" s="25"/>
      <c r="E69" s="5"/>
      <c r="F69" s="5"/>
      <c r="G69" s="5"/>
      <c r="H69" s="6"/>
      <c r="I69" s="25"/>
      <c r="J69" s="81"/>
      <c r="K69" s="25"/>
      <c r="L69" s="5"/>
      <c r="M69" s="5"/>
      <c r="N69" s="129"/>
    </row>
    <row r="70" spans="1:20" hidden="1" x14ac:dyDescent="0.2">
      <c r="A70" s="113"/>
      <c r="B70" s="6"/>
      <c r="C70" s="79"/>
      <c r="D70" s="25"/>
      <c r="E70" s="5"/>
      <c r="F70" s="5"/>
      <c r="G70" s="5"/>
      <c r="H70" s="6"/>
      <c r="I70" s="6"/>
      <c r="J70" s="79"/>
      <c r="K70" s="25"/>
      <c r="L70" s="5"/>
      <c r="M70" s="5"/>
      <c r="N70" s="129"/>
    </row>
    <row r="71" spans="1:20" hidden="1" x14ac:dyDescent="0.2">
      <c r="A71" s="256" t="s">
        <v>224</v>
      </c>
      <c r="B71" s="257"/>
      <c r="C71" s="257"/>
      <c r="D71" s="257"/>
      <c r="E71" s="228" t="s">
        <v>100</v>
      </c>
      <c r="F71" s="21"/>
      <c r="G71" s="21"/>
      <c r="H71" s="7"/>
      <c r="I71" s="7"/>
      <c r="J71" s="73"/>
      <c r="K71" s="91" t="s">
        <v>207</v>
      </c>
      <c r="L71" s="21"/>
      <c r="M71" s="5"/>
      <c r="N71" s="129"/>
    </row>
    <row r="72" spans="1:20" hidden="1" x14ac:dyDescent="0.2">
      <c r="A72" s="258" t="s">
        <v>225</v>
      </c>
      <c r="B72" s="254"/>
      <c r="C72" s="254"/>
      <c r="D72" s="254"/>
      <c r="E72" s="231" t="s">
        <v>101</v>
      </c>
      <c r="F72" s="231"/>
      <c r="G72" s="231"/>
      <c r="H72" s="231"/>
      <c r="I72" s="227"/>
      <c r="J72" s="227"/>
      <c r="K72" s="91" t="s">
        <v>29</v>
      </c>
      <c r="L72" s="100"/>
      <c r="M72" s="101"/>
      <c r="N72" s="130"/>
    </row>
    <row r="73" spans="1:20" hidden="1" x14ac:dyDescent="0.2">
      <c r="A73" s="259" t="s">
        <v>226</v>
      </c>
      <c r="B73" s="260"/>
      <c r="C73" s="260"/>
      <c r="D73" s="260"/>
      <c r="E73" s="232" t="s">
        <v>147</v>
      </c>
      <c r="F73" s="232"/>
      <c r="G73" s="232"/>
      <c r="H73" s="232"/>
      <c r="I73" s="7"/>
      <c r="J73" s="225"/>
      <c r="K73" s="226" t="s">
        <v>148</v>
      </c>
      <c r="L73" s="100"/>
      <c r="M73" s="101"/>
      <c r="N73" s="130"/>
    </row>
    <row r="74" spans="1:20" ht="13.5" hidden="1" thickBot="1" x14ac:dyDescent="0.25">
      <c r="A74" s="249"/>
      <c r="B74" s="250"/>
      <c r="C74" s="224"/>
      <c r="D74" s="131"/>
      <c r="E74" s="224"/>
      <c r="F74" s="224"/>
      <c r="G74" s="224"/>
      <c r="H74" s="224"/>
      <c r="I74" s="224"/>
      <c r="J74" s="224"/>
      <c r="K74" s="176" t="s">
        <v>149</v>
      </c>
      <c r="L74" s="132"/>
      <c r="M74" s="133"/>
      <c r="N74" s="134"/>
    </row>
    <row r="75" spans="1:20" hidden="1" x14ac:dyDescent="0.2"/>
    <row r="76" spans="1:20" hidden="1" x14ac:dyDescent="0.2"/>
    <row r="77" spans="1:20" hidden="1" x14ac:dyDescent="0.2"/>
    <row r="78" spans="1:20" ht="13.5" hidden="1" thickBot="1" x14ac:dyDescent="0.25">
      <c r="A78" s="90">
        <v>1</v>
      </c>
      <c r="B78" s="28" t="s">
        <v>30</v>
      </c>
      <c r="C78" s="28"/>
      <c r="D78" s="22">
        <v>2022</v>
      </c>
      <c r="E78" s="22">
        <v>2021</v>
      </c>
      <c r="K78" s="41" t="s">
        <v>210</v>
      </c>
    </row>
    <row r="79" spans="1:20" hidden="1" x14ac:dyDescent="0.2"/>
    <row r="80" spans="1:20" hidden="1" x14ac:dyDescent="0.2">
      <c r="A80" s="90">
        <v>1.1000000000000001</v>
      </c>
      <c r="B80" s="3" t="s">
        <v>31</v>
      </c>
      <c r="C80" s="8"/>
      <c r="D80" s="14">
        <f>+D9-K9</f>
        <v>253151034706.45004</v>
      </c>
      <c r="E80" s="14">
        <f>+E9-L9</f>
        <v>242651792268.60001</v>
      </c>
      <c r="F80" s="20" t="s">
        <v>32</v>
      </c>
      <c r="I80" s="14">
        <f>+D80-E80</f>
        <v>10499242437.850037</v>
      </c>
      <c r="J80" s="82"/>
      <c r="K80" s="122">
        <f>+I80/E80</f>
        <v>4.3268761131704511E-2</v>
      </c>
    </row>
    <row r="81" spans="1:14" hidden="1" x14ac:dyDescent="0.2">
      <c r="A81" s="90">
        <v>1.2</v>
      </c>
      <c r="B81" s="3" t="s">
        <v>33</v>
      </c>
      <c r="C81" s="8"/>
      <c r="D81" s="14">
        <f>+D9/K9</f>
        <v>7.8986481643822755</v>
      </c>
      <c r="E81" s="14">
        <f>+E9/L9</f>
        <v>7.3358731438151734</v>
      </c>
      <c r="F81" s="20" t="s">
        <v>34</v>
      </c>
      <c r="I81" s="14">
        <f>+D81-E81</f>
        <v>0.56277502056710205</v>
      </c>
      <c r="J81" s="82"/>
      <c r="K81" s="122">
        <f>+I81/E81</f>
        <v>7.6715478789539049E-2</v>
      </c>
    </row>
    <row r="82" spans="1:14" hidden="1" x14ac:dyDescent="0.2"/>
    <row r="83" spans="1:14" hidden="1" x14ac:dyDescent="0.2">
      <c r="A83" s="90">
        <v>2</v>
      </c>
      <c r="B83" s="3" t="s">
        <v>35</v>
      </c>
      <c r="C83" s="8"/>
      <c r="D83" s="14">
        <f>+K41/D56*100</f>
        <v>5.989315122946639</v>
      </c>
      <c r="E83" s="14">
        <f>+L41/E56*100</f>
        <v>6.3243052348588877</v>
      </c>
      <c r="F83" s="20" t="s">
        <v>36</v>
      </c>
      <c r="I83" s="14">
        <f>+D83-E83</f>
        <v>-0.3349901119122487</v>
      </c>
      <c r="J83" s="82"/>
      <c r="K83" s="122">
        <f>+I83/E83</f>
        <v>-5.296868185074613E-2</v>
      </c>
    </row>
    <row r="84" spans="1:14" hidden="1" x14ac:dyDescent="0.2"/>
    <row r="85" spans="1:14" hidden="1" x14ac:dyDescent="0.2">
      <c r="B85" s="28"/>
      <c r="C85" s="28"/>
      <c r="D85" s="20" t="e">
        <f>+D9-#REF!</f>
        <v>#REF!</v>
      </c>
      <c r="E85" s="20"/>
      <c r="F85" s="21"/>
      <c r="G85" s="10"/>
      <c r="H85" s="29"/>
      <c r="I85" s="89"/>
      <c r="K85" s="9"/>
      <c r="L85" s="247"/>
      <c r="M85" s="247"/>
      <c r="N85" s="247"/>
    </row>
    <row r="86" spans="1:14" hidden="1" x14ac:dyDescent="0.2">
      <c r="D86" s="14" t="e">
        <f>+D85/K9</f>
        <v>#REF!</v>
      </c>
    </row>
    <row r="88" spans="1:14" x14ac:dyDescent="0.2">
      <c r="I88" s="14"/>
      <c r="J88" s="82"/>
    </row>
  </sheetData>
  <mergeCells count="21">
    <mergeCell ref="A68:N68"/>
    <mergeCell ref="P6:Q6"/>
    <mergeCell ref="R6:S6"/>
    <mergeCell ref="L85:N85"/>
    <mergeCell ref="A71:D71"/>
    <mergeCell ref="A72:D72"/>
    <mergeCell ref="A73:D73"/>
    <mergeCell ref="A74:B74"/>
    <mergeCell ref="A6:A7"/>
    <mergeCell ref="B6:B7"/>
    <mergeCell ref="C6:C7"/>
    <mergeCell ref="G6:G7"/>
    <mergeCell ref="H6:H7"/>
    <mergeCell ref="I6:I7"/>
    <mergeCell ref="J6:J7"/>
    <mergeCell ref="N6:N7"/>
    <mergeCell ref="A1:N1"/>
    <mergeCell ref="A2:N2"/>
    <mergeCell ref="A3:N3"/>
    <mergeCell ref="A4:N4"/>
    <mergeCell ref="A5:N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4EC1-6B1F-4ABD-82BB-DF4874E28F08}">
  <dimension ref="A1:AD85"/>
  <sheetViews>
    <sheetView topLeftCell="A43" zoomScaleNormal="100" workbookViewId="0">
      <selection activeCell="Y53" sqref="Y53:Z53"/>
    </sheetView>
  </sheetViews>
  <sheetFormatPr baseColWidth="10" defaultColWidth="11.42578125" defaultRowHeight="12.75" x14ac:dyDescent="0.2"/>
  <cols>
    <col min="1" max="1" width="5.140625" style="90" customWidth="1"/>
    <col min="2" max="2" width="25.42578125" style="90" customWidth="1"/>
    <col min="3" max="3" width="1.140625" style="80" customWidth="1"/>
    <col min="4" max="4" width="17.85546875" style="14" customWidth="1"/>
    <col min="5" max="5" width="18.28515625" style="14" customWidth="1"/>
    <col min="6" max="6" width="28" style="14" hidden="1" customWidth="1"/>
    <col min="7" max="7" width="10.85546875" style="14" customWidth="1"/>
    <col min="8" max="8" width="4.42578125" style="90" bestFit="1" customWidth="1"/>
    <col min="9" max="9" width="22.28515625" style="90" customWidth="1"/>
    <col min="10" max="10" width="2" style="80" customWidth="1"/>
    <col min="11" max="11" width="14.42578125" style="24" customWidth="1"/>
    <col min="12" max="12" width="14" style="14" customWidth="1"/>
    <col min="13" max="13" width="13.28515625" style="14" hidden="1" customWidth="1"/>
    <col min="14" max="14" width="7.42578125" style="90" customWidth="1"/>
    <col min="15" max="15" width="6.140625" style="90" hidden="1" customWidth="1"/>
    <col min="16" max="17" width="6.5703125" style="90" hidden="1" customWidth="1"/>
    <col min="18" max="18" width="7.85546875" style="90" hidden="1" customWidth="1"/>
    <col min="19" max="19" width="7" style="90" hidden="1" customWidth="1"/>
    <col min="20" max="22" width="11.42578125" style="90" hidden="1" customWidth="1"/>
    <col min="23" max="23" width="7.85546875" style="90" customWidth="1"/>
    <col min="24" max="24" width="4.85546875" style="90" customWidth="1"/>
    <col min="25" max="16384" width="11.42578125" style="90"/>
  </cols>
  <sheetData>
    <row r="1" spans="1:25" s="1" customFormat="1" ht="18" x14ac:dyDescent="0.25">
      <c r="A1" s="233" t="s">
        <v>209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5"/>
    </row>
    <row r="2" spans="1:25" s="1" customFormat="1" ht="18" x14ac:dyDescent="0.25">
      <c r="A2" s="236" t="s">
        <v>202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</row>
    <row r="3" spans="1:25" s="1" customFormat="1" ht="18" x14ac:dyDescent="0.25">
      <c r="A3" s="236" t="s">
        <v>208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8"/>
    </row>
    <row r="4" spans="1:25" s="1" customFormat="1" ht="18" x14ac:dyDescent="0.25">
      <c r="A4" s="236" t="s">
        <v>221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</row>
    <row r="5" spans="1:25" s="1" customFormat="1" ht="18" x14ac:dyDescent="0.25">
      <c r="A5" s="239" t="s">
        <v>102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1:25" s="2" customFormat="1" ht="14.25" customHeight="1" x14ac:dyDescent="0.2">
      <c r="A6" s="242" t="s">
        <v>0</v>
      </c>
      <c r="B6" s="243" t="s">
        <v>38</v>
      </c>
      <c r="C6" s="243"/>
      <c r="D6" s="103">
        <v>2023</v>
      </c>
      <c r="E6" s="103">
        <v>2023</v>
      </c>
      <c r="F6" s="49" t="s">
        <v>2</v>
      </c>
      <c r="G6" s="244" t="s">
        <v>186</v>
      </c>
      <c r="H6" s="245" t="s">
        <v>0</v>
      </c>
      <c r="I6" s="243" t="s">
        <v>38</v>
      </c>
      <c r="J6" s="243"/>
      <c r="K6" s="103">
        <v>2023</v>
      </c>
      <c r="L6" s="103">
        <v>2023</v>
      </c>
      <c r="M6" s="49" t="s">
        <v>2</v>
      </c>
      <c r="N6" s="246" t="s">
        <v>186</v>
      </c>
      <c r="P6" s="248" t="s">
        <v>1</v>
      </c>
      <c r="Q6" s="248"/>
      <c r="R6" s="248" t="s">
        <v>4</v>
      </c>
      <c r="S6" s="248"/>
    </row>
    <row r="7" spans="1:25" s="2" customFormat="1" ht="12" customHeight="1" x14ac:dyDescent="0.2">
      <c r="A7" s="242"/>
      <c r="B7" s="243"/>
      <c r="C7" s="243"/>
      <c r="D7" s="103" t="s">
        <v>216</v>
      </c>
      <c r="E7" s="103" t="s">
        <v>220</v>
      </c>
      <c r="F7" s="49" t="s">
        <v>5</v>
      </c>
      <c r="G7" s="244"/>
      <c r="H7" s="245"/>
      <c r="I7" s="243"/>
      <c r="J7" s="243"/>
      <c r="K7" s="103" t="s">
        <v>216</v>
      </c>
      <c r="L7" s="103" t="s">
        <v>220</v>
      </c>
      <c r="M7" s="49" t="s">
        <v>5</v>
      </c>
      <c r="N7" s="246"/>
    </row>
    <row r="8" spans="1:25" s="2" customFormat="1" ht="15.75" customHeight="1" x14ac:dyDescent="0.2">
      <c r="A8" s="120"/>
      <c r="B8" s="214" t="s">
        <v>1</v>
      </c>
      <c r="C8" s="49"/>
      <c r="D8" s="98"/>
      <c r="E8" s="98"/>
      <c r="F8" s="98"/>
      <c r="G8" s="135"/>
      <c r="H8" s="47"/>
      <c r="I8" s="214" t="s">
        <v>3</v>
      </c>
      <c r="J8" s="49"/>
      <c r="K8" s="23"/>
      <c r="L8" s="48"/>
      <c r="M8" s="48"/>
      <c r="N8" s="121"/>
    </row>
    <row r="9" spans="1:25" s="2" customFormat="1" ht="21.75" customHeight="1" x14ac:dyDescent="0.2">
      <c r="A9" s="120"/>
      <c r="B9" s="46" t="s">
        <v>103</v>
      </c>
      <c r="C9" s="49"/>
      <c r="D9" s="138">
        <f>+D10+D14+D16+D22+D26</f>
        <v>218866696567.09</v>
      </c>
      <c r="E9" s="138">
        <f>+E10+E14+E16+E22+E26</f>
        <v>199397644018.56</v>
      </c>
      <c r="F9" s="138">
        <f>+F10+F14+F16+F22+F26</f>
        <v>19469052548.530006</v>
      </c>
      <c r="G9" s="139">
        <f t="shared" ref="G9:G16" si="0">+F9/E9</f>
        <v>9.7639330917660291E-2</v>
      </c>
      <c r="H9" s="47"/>
      <c r="I9" s="46" t="s">
        <v>127</v>
      </c>
      <c r="J9" s="49"/>
      <c r="K9" s="138">
        <f>+K10+K18+K21+K25</f>
        <v>26433978148.950001</v>
      </c>
      <c r="L9" s="138">
        <f>+L10+L18+L21+L25</f>
        <v>21529313828.98</v>
      </c>
      <c r="M9" s="138">
        <f>+M10+M18+M21+M25</f>
        <v>4904664319.9699993</v>
      </c>
      <c r="N9" s="140">
        <f>+M9/L9</f>
        <v>0.22781331346324515</v>
      </c>
      <c r="P9" s="37">
        <f>+D9/D9*100</f>
        <v>100</v>
      </c>
      <c r="Q9" s="44">
        <f>+D9/D53*100</f>
        <v>44.122907804592288</v>
      </c>
    </row>
    <row r="10" spans="1:25" s="2" customFormat="1" ht="26.25" customHeight="1" x14ac:dyDescent="0.2">
      <c r="A10" s="125">
        <v>11</v>
      </c>
      <c r="B10" s="151" t="s">
        <v>104</v>
      </c>
      <c r="C10" s="49"/>
      <c r="D10" s="84">
        <f>SUM(D11:D13)</f>
        <v>79067163216.919998</v>
      </c>
      <c r="E10" s="84">
        <f>SUM(E11:E13)</f>
        <v>27292106293.780003</v>
      </c>
      <c r="F10" s="84">
        <f>SUM(F11:F13)</f>
        <v>51775056923.139992</v>
      </c>
      <c r="G10" s="136">
        <f t="shared" si="0"/>
        <v>1.8970707634588015</v>
      </c>
      <c r="H10" s="51">
        <v>24</v>
      </c>
      <c r="I10" s="50" t="s">
        <v>128</v>
      </c>
      <c r="J10" s="49"/>
      <c r="K10" s="84">
        <f>SUM(K11:K16)</f>
        <v>2739936246.6800003</v>
      </c>
      <c r="L10" s="84">
        <f>SUM(L11:L16)</f>
        <v>4284261318.6599998</v>
      </c>
      <c r="M10" s="84">
        <f>SUM(M11:M16)</f>
        <v>-1544325071.98</v>
      </c>
      <c r="N10" s="122">
        <f t="shared" ref="N10:N14" si="1">+M10/L10</f>
        <v>-0.36046472358110565</v>
      </c>
    </row>
    <row r="11" spans="1:25" s="2" customFormat="1" ht="24.75" customHeight="1" x14ac:dyDescent="0.2">
      <c r="A11" s="120">
        <v>1105</v>
      </c>
      <c r="B11" s="85" t="s">
        <v>211</v>
      </c>
      <c r="C11" s="77"/>
      <c r="D11" s="83">
        <v>589493398</v>
      </c>
      <c r="E11" s="83">
        <v>589493398</v>
      </c>
      <c r="F11" s="83">
        <f>+D11-E11</f>
        <v>0</v>
      </c>
      <c r="G11" s="137">
        <f t="shared" si="0"/>
        <v>0</v>
      </c>
      <c r="H11" s="52">
        <v>2401</v>
      </c>
      <c r="I11" s="85" t="s">
        <v>129</v>
      </c>
      <c r="J11" s="77"/>
      <c r="K11" s="83">
        <v>771084752.23000002</v>
      </c>
      <c r="L11" s="83">
        <v>1608084745.5</v>
      </c>
      <c r="M11" s="83">
        <f>+K11-L11</f>
        <v>-836999993.26999998</v>
      </c>
      <c r="N11" s="123">
        <f t="shared" si="1"/>
        <v>-0.52049495252798539</v>
      </c>
    </row>
    <row r="12" spans="1:25" s="2" customFormat="1" ht="26.25" customHeight="1" x14ac:dyDescent="0.2">
      <c r="A12" s="120">
        <v>1110</v>
      </c>
      <c r="B12" s="85" t="s">
        <v>105</v>
      </c>
      <c r="C12" s="77"/>
      <c r="D12" s="83">
        <v>78082832997.139999</v>
      </c>
      <c r="E12" s="83">
        <v>22125009902.990002</v>
      </c>
      <c r="F12" s="83">
        <f>+D12-E12</f>
        <v>55957823094.149994</v>
      </c>
      <c r="G12" s="137">
        <f t="shared" si="0"/>
        <v>2.5291660134618872</v>
      </c>
      <c r="H12" s="52">
        <v>2407</v>
      </c>
      <c r="I12" s="85" t="s">
        <v>130</v>
      </c>
      <c r="J12" s="77"/>
      <c r="K12" s="83">
        <v>12480803</v>
      </c>
      <c r="L12" s="83">
        <v>67237888</v>
      </c>
      <c r="M12" s="83">
        <f t="shared" ref="M12:M16" si="2">+K12-L12</f>
        <v>-54757085</v>
      </c>
      <c r="N12" s="123">
        <f t="shared" si="1"/>
        <v>-0.81437842009552708</v>
      </c>
      <c r="P12" s="11">
        <f>+D10/$D$9*100</f>
        <v>36.125716912204254</v>
      </c>
      <c r="S12" s="11">
        <f>+K10/$K$35*100</f>
        <v>611.90860787579368</v>
      </c>
    </row>
    <row r="13" spans="1:25" s="2" customFormat="1" ht="18" customHeight="1" x14ac:dyDescent="0.2">
      <c r="A13" s="120">
        <v>1133</v>
      </c>
      <c r="B13" s="47" t="s">
        <v>106</v>
      </c>
      <c r="C13" s="77"/>
      <c r="D13" s="83">
        <v>394836821.77999997</v>
      </c>
      <c r="E13" s="83">
        <v>4577602992.79</v>
      </c>
      <c r="F13" s="83">
        <f>+D13-E13</f>
        <v>-4182766171.0100002</v>
      </c>
      <c r="G13" s="137">
        <f t="shared" si="0"/>
        <v>-0.91374594467849413</v>
      </c>
      <c r="H13" s="52">
        <v>2424</v>
      </c>
      <c r="I13" s="85" t="s">
        <v>131</v>
      </c>
      <c r="J13" s="77"/>
      <c r="K13" s="83">
        <v>1114168764</v>
      </c>
      <c r="L13" s="83">
        <v>1789813259</v>
      </c>
      <c r="M13" s="83">
        <f t="shared" si="2"/>
        <v>-675644495</v>
      </c>
      <c r="N13" s="123">
        <f t="shared" si="1"/>
        <v>-0.37749440708551596</v>
      </c>
      <c r="P13" s="11">
        <f>+D18/$D$9*100</f>
        <v>3.1343279300134085E-4</v>
      </c>
      <c r="R13" s="11">
        <f>+K11/$K$10*100</f>
        <v>28.142434086352509</v>
      </c>
      <c r="S13" s="11"/>
    </row>
    <row r="14" spans="1:25" s="2" customFormat="1" ht="28.15" customHeight="1" x14ac:dyDescent="0.2">
      <c r="A14" s="125">
        <v>12</v>
      </c>
      <c r="B14" s="151" t="s">
        <v>214</v>
      </c>
      <c r="C14" s="77"/>
      <c r="D14" s="84">
        <f>+D15</f>
        <v>111614969158.99001</v>
      </c>
      <c r="E14" s="84">
        <f>+E15</f>
        <v>144458317661.98999</v>
      </c>
      <c r="F14" s="84">
        <f>+F15</f>
        <v>-32843348502.999985</v>
      </c>
      <c r="G14" s="136">
        <f t="shared" si="0"/>
        <v>-0.22735519168822327</v>
      </c>
      <c r="H14" s="52">
        <v>2436</v>
      </c>
      <c r="I14" s="85" t="s">
        <v>132</v>
      </c>
      <c r="J14" s="77"/>
      <c r="K14" s="83">
        <v>131003405</v>
      </c>
      <c r="L14" s="83">
        <v>302838410</v>
      </c>
      <c r="M14" s="83">
        <f t="shared" si="2"/>
        <v>-171835005</v>
      </c>
      <c r="N14" s="123">
        <f t="shared" si="1"/>
        <v>-0.56741483023900441</v>
      </c>
      <c r="P14" s="11"/>
      <c r="R14" s="11"/>
      <c r="S14" s="11"/>
      <c r="Y14" s="12"/>
    </row>
    <row r="15" spans="1:25" s="2" customFormat="1" ht="36" customHeight="1" x14ac:dyDescent="0.2">
      <c r="A15" s="120">
        <v>1223</v>
      </c>
      <c r="B15" s="85" t="s">
        <v>215</v>
      </c>
      <c r="C15" s="77"/>
      <c r="D15" s="83">
        <v>111614969158.99001</v>
      </c>
      <c r="E15" s="83">
        <v>144458317661.98999</v>
      </c>
      <c r="F15" s="83">
        <f t="shared" ref="F15" si="3">+D15-E15</f>
        <v>-32843348502.999985</v>
      </c>
      <c r="G15" s="137">
        <f t="shared" si="0"/>
        <v>-0.22735519168822327</v>
      </c>
      <c r="H15" s="52">
        <v>2440</v>
      </c>
      <c r="I15" s="85" t="s">
        <v>133</v>
      </c>
      <c r="J15" s="77"/>
      <c r="K15" s="83">
        <v>9898000</v>
      </c>
      <c r="L15" s="83">
        <v>6109000</v>
      </c>
      <c r="M15" s="83">
        <f t="shared" si="2"/>
        <v>3789000</v>
      </c>
      <c r="N15" s="123">
        <f>+M15/L15</f>
        <v>0.62023244393517762</v>
      </c>
      <c r="P15" s="11"/>
      <c r="R15" s="11">
        <f>+K12/$K$10*100</f>
        <v>0.45551435786592026</v>
      </c>
      <c r="S15" s="11"/>
    </row>
    <row r="16" spans="1:25" s="2" customFormat="1" ht="20.25" customHeight="1" x14ac:dyDescent="0.2">
      <c r="A16" s="125">
        <v>13</v>
      </c>
      <c r="B16" s="50" t="s">
        <v>107</v>
      </c>
      <c r="C16" s="49"/>
      <c r="D16" s="84">
        <f>SUM(D17:D21)</f>
        <v>14031521778.879999</v>
      </c>
      <c r="E16" s="84">
        <f>SUM(E17:E21)</f>
        <v>26566911498.68</v>
      </c>
      <c r="F16" s="84">
        <f>SUM(F17:F21)</f>
        <v>-12535389719.800001</v>
      </c>
      <c r="G16" s="136">
        <f t="shared" si="0"/>
        <v>-0.47184219062960453</v>
      </c>
      <c r="H16" s="47">
        <v>2490</v>
      </c>
      <c r="I16" s="47" t="s">
        <v>134</v>
      </c>
      <c r="J16" s="77"/>
      <c r="K16" s="83">
        <v>701300522.45000005</v>
      </c>
      <c r="L16" s="83">
        <v>510178016.16000003</v>
      </c>
      <c r="M16" s="83">
        <f t="shared" si="2"/>
        <v>191122506.29000002</v>
      </c>
      <c r="N16" s="123">
        <f t="shared" ref="N16" si="4">+M16/L16</f>
        <v>0.37461925099897075</v>
      </c>
      <c r="P16" s="11">
        <f>+D20/$D$9*100</f>
        <v>0.22810865641541855</v>
      </c>
      <c r="R16" s="11">
        <f>+K13/$K$10*100</f>
        <v>40.664039732677942</v>
      </c>
      <c r="S16" s="11"/>
    </row>
    <row r="17" spans="1:30" s="2" customFormat="1" ht="9.75" customHeight="1" x14ac:dyDescent="0.2">
      <c r="A17" s="124"/>
      <c r="B17" s="85"/>
      <c r="C17" s="77"/>
      <c r="D17" s="83"/>
      <c r="E17" s="83"/>
      <c r="F17" s="83"/>
      <c r="G17" s="137"/>
      <c r="H17" s="47"/>
      <c r="I17" s="85"/>
      <c r="J17" s="77"/>
      <c r="K17" s="83"/>
      <c r="L17" s="83"/>
      <c r="M17" s="83"/>
      <c r="N17" s="126"/>
      <c r="P17" s="11">
        <f>+D22/$D$20*100</f>
        <v>84.044298596219264</v>
      </c>
      <c r="R17" s="11">
        <f>+K15/$K$10*100</f>
        <v>0.36124928132884387</v>
      </c>
      <c r="S17" s="11"/>
    </row>
    <row r="18" spans="1:30" s="2" customFormat="1" ht="26.25" customHeight="1" x14ac:dyDescent="0.2">
      <c r="A18" s="124">
        <v>1316</v>
      </c>
      <c r="B18" s="85" t="s">
        <v>7</v>
      </c>
      <c r="C18" s="77"/>
      <c r="D18" s="83">
        <v>686000</v>
      </c>
      <c r="E18" s="83">
        <v>111000</v>
      </c>
      <c r="F18" s="83">
        <f t="shared" ref="F18:F21" si="5">+D18-E18</f>
        <v>575000</v>
      </c>
      <c r="G18" s="137">
        <f>+F18/E18</f>
        <v>5.1801801801801801</v>
      </c>
      <c r="H18" s="51">
        <v>25</v>
      </c>
      <c r="I18" s="151" t="s">
        <v>135</v>
      </c>
      <c r="J18" s="49"/>
      <c r="K18" s="84">
        <f>+K19</f>
        <v>14269185742.34</v>
      </c>
      <c r="L18" s="84">
        <f>+L19</f>
        <v>11138762432.6</v>
      </c>
      <c r="M18" s="84">
        <f>+M19</f>
        <v>3130423309.7399998</v>
      </c>
      <c r="N18" s="122">
        <f>+M18/L18</f>
        <v>0.28103869964747052</v>
      </c>
      <c r="P18" s="11"/>
      <c r="R18" s="11">
        <f>+K16/$K$10*100</f>
        <v>25.595505125338985</v>
      </c>
      <c r="S18" s="11">
        <f>+K16/$K$35*100</f>
        <v>156.62109909123922</v>
      </c>
    </row>
    <row r="19" spans="1:30" s="2" customFormat="1" ht="33" customHeight="1" x14ac:dyDescent="0.2">
      <c r="A19" s="127">
        <v>1317</v>
      </c>
      <c r="B19" s="85" t="s">
        <v>108</v>
      </c>
      <c r="C19" s="77"/>
      <c r="D19" s="83">
        <v>13512108864</v>
      </c>
      <c r="E19" s="83">
        <v>12470078751</v>
      </c>
      <c r="F19" s="83">
        <f t="shared" si="5"/>
        <v>1042030113</v>
      </c>
      <c r="G19" s="137">
        <f>+F19/E19</f>
        <v>8.3562432427817468E-2</v>
      </c>
      <c r="H19" s="54">
        <v>2511</v>
      </c>
      <c r="I19" s="85" t="s">
        <v>136</v>
      </c>
      <c r="J19" s="77"/>
      <c r="K19" s="83">
        <v>14269185742.34</v>
      </c>
      <c r="L19" s="83">
        <v>11138762432.6</v>
      </c>
      <c r="M19" s="83">
        <f>+K19-L19</f>
        <v>3130423309.7399998</v>
      </c>
      <c r="N19" s="123">
        <f>+M19/L19</f>
        <v>0.28103869964747052</v>
      </c>
      <c r="R19" s="11" t="e">
        <f>+#REF!/$K$10*100</f>
        <v>#REF!</v>
      </c>
      <c r="S19" s="11"/>
    </row>
    <row r="20" spans="1:30" s="2" customFormat="1" ht="20.25" customHeight="1" x14ac:dyDescent="0.2">
      <c r="A20" s="127">
        <v>1337</v>
      </c>
      <c r="B20" s="85" t="s">
        <v>196</v>
      </c>
      <c r="C20" s="77"/>
      <c r="D20" s="83">
        <v>499253880.88</v>
      </c>
      <c r="E20" s="83">
        <v>14081225176.68</v>
      </c>
      <c r="F20" s="83">
        <f t="shared" si="5"/>
        <v>-13581971295.800001</v>
      </c>
      <c r="G20" s="137">
        <f>+F20/E20</f>
        <v>-0.96454471293401256</v>
      </c>
      <c r="H20" s="47"/>
      <c r="I20" s="47"/>
      <c r="J20" s="77"/>
      <c r="K20" s="83"/>
      <c r="L20" s="83"/>
      <c r="M20" s="83"/>
      <c r="N20" s="128"/>
      <c r="S20" s="11"/>
      <c r="X20" s="52"/>
      <c r="Y20" s="12"/>
      <c r="AD20" s="137"/>
    </row>
    <row r="21" spans="1:30" s="2" customFormat="1" ht="21.75" customHeight="1" x14ac:dyDescent="0.2">
      <c r="A21" s="127">
        <v>1384</v>
      </c>
      <c r="B21" s="85" t="s">
        <v>109</v>
      </c>
      <c r="C21" s="77"/>
      <c r="D21" s="83">
        <v>19473034</v>
      </c>
      <c r="E21" s="83">
        <v>15496571</v>
      </c>
      <c r="F21" s="83">
        <f t="shared" si="5"/>
        <v>3976463</v>
      </c>
      <c r="G21" s="137">
        <f t="shared" ref="G21:G27" si="6">+F21/E21</f>
        <v>0.25660276715410141</v>
      </c>
      <c r="H21" s="51">
        <v>27</v>
      </c>
      <c r="I21" s="50" t="s">
        <v>137</v>
      </c>
      <c r="J21" s="49"/>
      <c r="K21" s="84">
        <f>SUM(K22:K23)</f>
        <v>220057233</v>
      </c>
      <c r="L21" s="84">
        <f>SUM(L22:L23)</f>
        <v>613984513</v>
      </c>
      <c r="M21" s="84">
        <f>SUM(M22:M23)</f>
        <v>-393927280</v>
      </c>
      <c r="N21" s="122">
        <f>+M21/L21</f>
        <v>-0.64159155753819475</v>
      </c>
      <c r="P21" s="11" t="e">
        <f>+#REF!/$D$20*100</f>
        <v>#REF!</v>
      </c>
      <c r="Q21" s="11"/>
      <c r="R21" s="11"/>
      <c r="S21" s="11">
        <f>+K18/$K$35*100</f>
        <v>3186.7301999075112</v>
      </c>
      <c r="X21" s="52"/>
      <c r="Y21" s="12"/>
      <c r="AD21" s="137"/>
    </row>
    <row r="22" spans="1:30" s="2" customFormat="1" ht="18" customHeight="1" x14ac:dyDescent="0.2">
      <c r="A22" s="125">
        <v>15</v>
      </c>
      <c r="B22" s="50" t="s">
        <v>111</v>
      </c>
      <c r="C22" s="49"/>
      <c r="D22" s="84">
        <f>SUM(D23:D25)</f>
        <v>419594422.40000004</v>
      </c>
      <c r="E22" s="84">
        <f>SUM(E23:E25)</f>
        <v>504820872.71999997</v>
      </c>
      <c r="F22" s="84">
        <f>SUM(F23:F25)</f>
        <v>-85226450.320000008</v>
      </c>
      <c r="G22" s="136">
        <f t="shared" si="6"/>
        <v>-0.16882513169630972</v>
      </c>
      <c r="H22" s="52">
        <v>2701</v>
      </c>
      <c r="I22" s="85" t="s">
        <v>28</v>
      </c>
      <c r="J22" s="77"/>
      <c r="K22" s="83">
        <v>220057233</v>
      </c>
      <c r="L22" s="83">
        <v>613984513</v>
      </c>
      <c r="M22" s="83">
        <f>+K22-L22</f>
        <v>-393927280</v>
      </c>
      <c r="N22" s="123">
        <f>+M22/L22</f>
        <v>-0.64159155753819475</v>
      </c>
      <c r="P22" s="11">
        <f>+D23/$D$20*100</f>
        <v>24.512730980535991</v>
      </c>
      <c r="R22" s="11"/>
      <c r="S22" s="11"/>
    </row>
    <row r="23" spans="1:30" s="2" customFormat="1" ht="19.5" customHeight="1" x14ac:dyDescent="0.2">
      <c r="A23" s="127">
        <v>1510</v>
      </c>
      <c r="B23" s="85" t="s">
        <v>112</v>
      </c>
      <c r="C23" s="77"/>
      <c r="D23" s="83">
        <v>122380760.73</v>
      </c>
      <c r="E23" s="83">
        <v>135161289.28</v>
      </c>
      <c r="F23" s="83">
        <f>+D23-E23</f>
        <v>-12780528.549999997</v>
      </c>
      <c r="G23" s="137">
        <f t="shared" si="6"/>
        <v>-9.4557610526515956E-2</v>
      </c>
      <c r="H23" s="52"/>
      <c r="I23" s="85"/>
      <c r="J23" s="78"/>
      <c r="K23" s="83"/>
      <c r="L23" s="83"/>
      <c r="M23" s="83"/>
      <c r="N23" s="123"/>
      <c r="P23" s="11">
        <f>+D24/$D$20*100</f>
        <v>58.883477478798042</v>
      </c>
      <c r="R23" s="11"/>
      <c r="S23" s="11"/>
    </row>
    <row r="24" spans="1:30" s="2" customFormat="1" ht="20.25" customHeight="1" x14ac:dyDescent="0.2">
      <c r="A24" s="127">
        <v>1514</v>
      </c>
      <c r="B24" s="85" t="s">
        <v>113</v>
      </c>
      <c r="C24" s="77"/>
      <c r="D24" s="83">
        <v>293978046.50999999</v>
      </c>
      <c r="E24" s="83">
        <v>366267819.25</v>
      </c>
      <c r="F24" s="83">
        <f>+D24-E24</f>
        <v>-72289772.74000001</v>
      </c>
      <c r="G24" s="137">
        <f t="shared" si="6"/>
        <v>-0.197368616462201</v>
      </c>
      <c r="H24" s="53"/>
      <c r="I24" s="54"/>
      <c r="J24" s="78"/>
      <c r="K24" s="83"/>
      <c r="L24" s="83"/>
      <c r="M24" s="83"/>
      <c r="N24" s="123"/>
      <c r="P24" s="11"/>
      <c r="R24" s="11"/>
      <c r="S24" s="11">
        <f>+K21/$K$35*100</f>
        <v>49.145273092098932</v>
      </c>
      <c r="Y24" s="12"/>
    </row>
    <row r="25" spans="1:30" s="2" customFormat="1" ht="18.75" customHeight="1" x14ac:dyDescent="0.2">
      <c r="A25" s="120">
        <v>1530</v>
      </c>
      <c r="B25" s="47" t="s">
        <v>9</v>
      </c>
      <c r="C25" s="77"/>
      <c r="D25" s="83">
        <v>3235615.16</v>
      </c>
      <c r="E25" s="83">
        <v>3391764.19</v>
      </c>
      <c r="F25" s="83">
        <f t="shared" ref="F25" si="7">+D25-E25</f>
        <v>-156149.0299999998</v>
      </c>
      <c r="G25" s="137">
        <f t="shared" si="6"/>
        <v>-4.6037702284957432E-2</v>
      </c>
      <c r="H25" s="51">
        <v>29</v>
      </c>
      <c r="I25" s="50" t="s">
        <v>10</v>
      </c>
      <c r="J25" s="49"/>
      <c r="K25" s="84">
        <f>SUM(K26:K28)</f>
        <v>9204798926.9300003</v>
      </c>
      <c r="L25" s="84">
        <f t="shared" ref="L25:M25" si="8">SUM(L26:L28)</f>
        <v>5492305564.7200003</v>
      </c>
      <c r="M25" s="84">
        <f t="shared" si="8"/>
        <v>3712493362.21</v>
      </c>
      <c r="N25" s="122">
        <f>+M25/L25</f>
        <v>0.67594443143464544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25">
        <v>19</v>
      </c>
      <c r="B26" s="50" t="s">
        <v>11</v>
      </c>
      <c r="C26" s="49"/>
      <c r="D26" s="84">
        <f>SUM(D27:D27)</f>
        <v>13733447989.9</v>
      </c>
      <c r="E26" s="84">
        <f>SUM(E27:E27)</f>
        <v>575487691.38999999</v>
      </c>
      <c r="F26" s="84">
        <f>SUM(F27:F27)</f>
        <v>13157960298.51</v>
      </c>
      <c r="G26" s="136">
        <f t="shared" si="6"/>
        <v>22.864016894486515</v>
      </c>
      <c r="H26" s="52">
        <v>2902</v>
      </c>
      <c r="I26" s="85" t="s">
        <v>138</v>
      </c>
      <c r="J26" s="77"/>
      <c r="K26" s="83">
        <v>2593713637.71</v>
      </c>
      <c r="L26" s="83">
        <v>2188104290.2800002</v>
      </c>
      <c r="M26" s="83">
        <f>+K26-L26</f>
        <v>405609347.42999983</v>
      </c>
      <c r="N26" s="123">
        <f>+M26/L26</f>
        <v>0.18537020800690268</v>
      </c>
      <c r="R26" s="11"/>
      <c r="S26" s="11"/>
    </row>
    <row r="27" spans="1:30" s="2" customFormat="1" ht="23.25" customHeight="1" x14ac:dyDescent="0.2">
      <c r="A27" s="127">
        <v>1906</v>
      </c>
      <c r="B27" s="85" t="s">
        <v>8</v>
      </c>
      <c r="C27" s="78"/>
      <c r="D27" s="83">
        <v>13733447989.9</v>
      </c>
      <c r="E27" s="83">
        <v>575487691.38999999</v>
      </c>
      <c r="F27" s="83">
        <f>+D27-E27</f>
        <v>13157960298.51</v>
      </c>
      <c r="G27" s="137">
        <f t="shared" si="6"/>
        <v>22.864016894486515</v>
      </c>
      <c r="H27" s="47">
        <v>2910</v>
      </c>
      <c r="I27" s="85" t="s">
        <v>12</v>
      </c>
      <c r="J27" s="77"/>
      <c r="K27" s="83">
        <v>4561029807</v>
      </c>
      <c r="L27" s="83">
        <v>1461746055</v>
      </c>
      <c r="M27" s="83">
        <f>+K27-L27</f>
        <v>3099283752</v>
      </c>
      <c r="N27" s="123">
        <f>+M27/L27</f>
        <v>2.1202614102488546</v>
      </c>
      <c r="R27" s="11"/>
      <c r="S27" s="11"/>
    </row>
    <row r="28" spans="1:30" s="2" customFormat="1" ht="21.95" customHeight="1" x14ac:dyDescent="0.2">
      <c r="A28" s="120"/>
      <c r="B28" s="46" t="s">
        <v>114</v>
      </c>
      <c r="C28" s="49"/>
      <c r="D28" s="138">
        <f>D29+D32+D46+D48</f>
        <v>277171999559.62006</v>
      </c>
      <c r="E28" s="138">
        <f>E29+E32+E46+E48</f>
        <v>277502690903.98004</v>
      </c>
      <c r="F28" s="138">
        <f>F29+F32+F46+F48</f>
        <v>-330691344.36000007</v>
      </c>
      <c r="G28" s="139">
        <f>+F28/E28</f>
        <v>-1.191668964660325E-3</v>
      </c>
      <c r="H28" s="47" t="s">
        <v>190</v>
      </c>
      <c r="I28" s="85" t="s">
        <v>191</v>
      </c>
      <c r="J28" s="77"/>
      <c r="K28" s="83">
        <v>2050055482.22</v>
      </c>
      <c r="L28" s="83">
        <v>1842455219.4400001</v>
      </c>
      <c r="M28" s="83">
        <f>+K28-L28</f>
        <v>207600262.77999997</v>
      </c>
      <c r="N28" s="123">
        <f>+M28/L28</f>
        <v>0.11267587976607565</v>
      </c>
      <c r="R28" s="11"/>
      <c r="S28" s="11">
        <f>+K25/$K$35*100</f>
        <v>2055.703195276631</v>
      </c>
    </row>
    <row r="29" spans="1:30" s="2" customFormat="1" ht="21" customHeight="1" x14ac:dyDescent="0.2">
      <c r="A29" s="125">
        <v>13</v>
      </c>
      <c r="B29" s="50" t="s">
        <v>107</v>
      </c>
      <c r="C29" s="49"/>
      <c r="D29" s="84">
        <f>SUM(D30:D31)</f>
        <v>2841076.5800000131</v>
      </c>
      <c r="E29" s="84">
        <f>SUM(E30:E31)</f>
        <v>4978822.5800000131</v>
      </c>
      <c r="F29" s="84">
        <f>SUM(F30:F31)</f>
        <v>-2137746</v>
      </c>
      <c r="G29" s="136">
        <f>+F29/E29</f>
        <v>-0.42936778036384543</v>
      </c>
      <c r="H29" s="47"/>
      <c r="I29" s="85"/>
      <c r="J29" s="77"/>
      <c r="K29" s="83"/>
      <c r="L29" s="83"/>
      <c r="M29" s="83"/>
      <c r="N29" s="123"/>
      <c r="R29" s="11"/>
      <c r="S29" s="11"/>
    </row>
    <row r="30" spans="1:30" s="2" customFormat="1" ht="25.5" customHeight="1" x14ac:dyDescent="0.2">
      <c r="A30" s="127">
        <v>1385</v>
      </c>
      <c r="B30" s="85" t="s">
        <v>193</v>
      </c>
      <c r="C30" s="77"/>
      <c r="D30" s="83">
        <v>163212066</v>
      </c>
      <c r="E30" s="83">
        <v>163429248</v>
      </c>
      <c r="F30" s="83">
        <f t="shared" ref="F30:F31" si="9">+D30-E30</f>
        <v>-217182</v>
      </c>
      <c r="G30" s="137">
        <f t="shared" ref="G30:G31" si="10">+F30/E30</f>
        <v>-1.3289053376786021E-3</v>
      </c>
      <c r="H30" s="47"/>
      <c r="I30" s="46"/>
      <c r="J30" s="49"/>
      <c r="K30" s="84"/>
      <c r="L30" s="84"/>
      <c r="M30" s="84"/>
      <c r="N30" s="122"/>
      <c r="P30" s="11"/>
      <c r="R30" s="11"/>
      <c r="S30" s="11"/>
    </row>
    <row r="31" spans="1:30" s="2" customFormat="1" ht="24" customHeight="1" x14ac:dyDescent="0.2">
      <c r="A31" s="127">
        <v>1386</v>
      </c>
      <c r="B31" s="85" t="s">
        <v>110</v>
      </c>
      <c r="C31" s="77"/>
      <c r="D31" s="83">
        <v>-160370989.41999999</v>
      </c>
      <c r="E31" s="83">
        <v>-158450425.41999999</v>
      </c>
      <c r="F31" s="83">
        <f t="shared" si="9"/>
        <v>-1920564</v>
      </c>
      <c r="G31" s="137">
        <f t="shared" si="10"/>
        <v>1.2120914127615727E-2</v>
      </c>
      <c r="H31" s="52"/>
      <c r="I31" s="85"/>
      <c r="J31" s="77"/>
      <c r="K31" s="83"/>
      <c r="L31" s="83"/>
      <c r="M31" s="83"/>
      <c r="N31" s="12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25">
        <v>16</v>
      </c>
      <c r="B32" s="51" t="s">
        <v>115</v>
      </c>
      <c r="C32" s="49"/>
      <c r="D32" s="84">
        <f>SUM(D33:D45)</f>
        <v>274968513470.48004</v>
      </c>
      <c r="E32" s="84">
        <f t="shared" ref="E32:F32" si="11">SUM(E33:E45)</f>
        <v>275214899488.84003</v>
      </c>
      <c r="F32" s="84">
        <f t="shared" si="11"/>
        <v>-246386018.36000007</v>
      </c>
      <c r="G32" s="136">
        <f>+F32/E32</f>
        <v>-8.9524956249685539E-4</v>
      </c>
      <c r="H32" s="47"/>
      <c r="I32" s="46" t="s">
        <v>139</v>
      </c>
      <c r="J32" s="141"/>
      <c r="K32" s="138">
        <f>+K34+K37</f>
        <v>447768868</v>
      </c>
      <c r="L32" s="138">
        <f t="shared" ref="L32:M32" si="12">+L34+L37</f>
        <v>488488009</v>
      </c>
      <c r="M32" s="138">
        <f t="shared" si="12"/>
        <v>-40719141</v>
      </c>
      <c r="N32" s="140">
        <f>+M32/L32</f>
        <v>-8.3357503663923097E-2</v>
      </c>
      <c r="P32" s="11"/>
      <c r="S32" s="11"/>
    </row>
    <row r="33" spans="1:26" s="2" customFormat="1" ht="16.5" customHeight="1" x14ac:dyDescent="0.2">
      <c r="A33" s="127">
        <v>1605</v>
      </c>
      <c r="B33" s="47" t="s">
        <v>14</v>
      </c>
      <c r="C33" s="77"/>
      <c r="D33" s="83">
        <v>233289491132.06</v>
      </c>
      <c r="E33" s="83">
        <v>233289491132.06</v>
      </c>
      <c r="F33" s="83">
        <f t="shared" ref="F33:F45" si="13">+D33-E33</f>
        <v>0</v>
      </c>
      <c r="G33" s="137">
        <f t="shared" ref="G33:G43" si="14">+F33/E33</f>
        <v>0</v>
      </c>
      <c r="H33" s="52"/>
      <c r="I33" s="85"/>
      <c r="J33" s="77"/>
      <c r="K33" s="83"/>
      <c r="L33" s="83"/>
      <c r="M33" s="83"/>
      <c r="N33" s="123"/>
      <c r="R33" s="11"/>
    </row>
    <row r="34" spans="1:26" s="2" customFormat="1" ht="21.75" customHeight="1" x14ac:dyDescent="0.2">
      <c r="A34" s="127">
        <v>1615</v>
      </c>
      <c r="B34" s="85" t="s">
        <v>116</v>
      </c>
      <c r="C34" s="177"/>
      <c r="D34" s="83">
        <v>249733128.78</v>
      </c>
      <c r="E34" s="83">
        <v>249733128.78</v>
      </c>
      <c r="F34" s="83">
        <f t="shared" si="13"/>
        <v>0</v>
      </c>
      <c r="G34" s="137">
        <f t="shared" si="14"/>
        <v>0</v>
      </c>
      <c r="H34" s="51">
        <v>25</v>
      </c>
      <c r="I34" s="99" t="s">
        <v>135</v>
      </c>
      <c r="J34" s="49"/>
      <c r="K34" s="84">
        <f>SUM(K35:K36)</f>
        <v>447768868</v>
      </c>
      <c r="L34" s="84">
        <f>SUM(L35:L36)</f>
        <v>488488009</v>
      </c>
      <c r="M34" s="84">
        <f>SUM(M35:M36)</f>
        <v>-40719141</v>
      </c>
      <c r="N34" s="122">
        <f>+M34/L34</f>
        <v>-8.3357503663923097E-2</v>
      </c>
      <c r="P34" s="11"/>
      <c r="S34" s="11"/>
    </row>
    <row r="35" spans="1:26" s="2" customFormat="1" ht="24" customHeight="1" x14ac:dyDescent="0.2">
      <c r="A35" s="127">
        <v>1635</v>
      </c>
      <c r="B35" s="85" t="s">
        <v>16</v>
      </c>
      <c r="C35" s="177"/>
      <c r="D35" s="83">
        <v>263269065</v>
      </c>
      <c r="E35" s="83">
        <v>358955615</v>
      </c>
      <c r="F35" s="83">
        <f t="shared" si="13"/>
        <v>-95686550</v>
      </c>
      <c r="G35" s="137">
        <f t="shared" si="14"/>
        <v>-0.26656930829735037</v>
      </c>
      <c r="H35" s="52">
        <v>2512</v>
      </c>
      <c r="I35" s="85" t="s">
        <v>140</v>
      </c>
      <c r="J35" s="77"/>
      <c r="K35" s="83">
        <v>447768868</v>
      </c>
      <c r="L35" s="83">
        <v>488488009</v>
      </c>
      <c r="M35" s="83">
        <f>+K35-L35</f>
        <v>-40719141</v>
      </c>
      <c r="N35" s="123">
        <f>+M35/L35</f>
        <v>-8.3357503663923097E-2</v>
      </c>
      <c r="R35" s="11" t="e">
        <f>+#REF!/$K$35*100</f>
        <v>#REF!</v>
      </c>
      <c r="S35" s="11"/>
    </row>
    <row r="36" spans="1:26" s="2" customFormat="1" ht="23.25" customHeight="1" x14ac:dyDescent="0.2">
      <c r="A36" s="127">
        <v>1637</v>
      </c>
      <c r="B36" s="85" t="s">
        <v>117</v>
      </c>
      <c r="C36" s="177"/>
      <c r="D36" s="83">
        <v>341862599</v>
      </c>
      <c r="E36" s="83">
        <v>306123319</v>
      </c>
      <c r="F36" s="83">
        <f t="shared" si="13"/>
        <v>35739280</v>
      </c>
      <c r="G36" s="137">
        <f t="shared" si="14"/>
        <v>0.11674798286111618</v>
      </c>
      <c r="H36" s="160"/>
      <c r="I36" s="85"/>
      <c r="J36" s="77"/>
      <c r="K36" s="83"/>
      <c r="L36" s="83"/>
      <c r="M36" s="83"/>
      <c r="N36" s="123"/>
      <c r="R36" s="11"/>
      <c r="S36" s="11"/>
    </row>
    <row r="37" spans="1:26" s="2" customFormat="1" ht="16.5" customHeight="1" x14ac:dyDescent="0.2">
      <c r="A37" s="127">
        <v>1640</v>
      </c>
      <c r="B37" s="85" t="s">
        <v>17</v>
      </c>
      <c r="C37" s="77"/>
      <c r="D37" s="83">
        <v>38322419893.5</v>
      </c>
      <c r="E37" s="83">
        <v>38322419893.5</v>
      </c>
      <c r="F37" s="83">
        <f t="shared" si="13"/>
        <v>0</v>
      </c>
      <c r="G37" s="137">
        <f t="shared" si="14"/>
        <v>0</v>
      </c>
      <c r="H37" s="51"/>
      <c r="I37" s="50"/>
      <c r="J37" s="49"/>
      <c r="K37" s="84"/>
      <c r="L37" s="84"/>
      <c r="M37" s="84"/>
      <c r="N37" s="122"/>
      <c r="R37" s="11"/>
      <c r="S37" s="11"/>
    </row>
    <row r="38" spans="1:26" s="2" customFormat="1" ht="16.5" customHeight="1" x14ac:dyDescent="0.2">
      <c r="A38" s="127">
        <v>1655</v>
      </c>
      <c r="B38" s="85" t="s">
        <v>19</v>
      </c>
      <c r="C38" s="177"/>
      <c r="D38" s="83">
        <v>1731231504.05</v>
      </c>
      <c r="E38" s="83">
        <v>1745911288.05</v>
      </c>
      <c r="F38" s="83">
        <f t="shared" si="13"/>
        <v>-14679784</v>
      </c>
      <c r="G38" s="137">
        <f t="shared" si="14"/>
        <v>-8.4080927252585553E-3</v>
      </c>
      <c r="H38" s="52"/>
      <c r="I38" s="85"/>
      <c r="J38" s="77"/>
      <c r="K38" s="83"/>
      <c r="L38" s="83"/>
      <c r="M38" s="83"/>
      <c r="N38" s="123"/>
      <c r="P38" s="44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27">
        <v>1660</v>
      </c>
      <c r="B39" s="85" t="s">
        <v>118</v>
      </c>
      <c r="C39" s="177"/>
      <c r="D39" s="83">
        <v>2395014790.6199999</v>
      </c>
      <c r="E39" s="83">
        <v>2323350832.6199999</v>
      </c>
      <c r="F39" s="83">
        <f t="shared" si="13"/>
        <v>71663958</v>
      </c>
      <c r="G39" s="137">
        <f t="shared" si="14"/>
        <v>3.0845086757382172E-2</v>
      </c>
      <c r="H39" s="47"/>
      <c r="I39" s="47"/>
      <c r="J39" s="77"/>
      <c r="K39" s="83"/>
      <c r="L39" s="83"/>
      <c r="M39" s="83"/>
      <c r="N39" s="123"/>
      <c r="R39" s="11"/>
    </row>
    <row r="40" spans="1:26" s="2" customFormat="1" ht="24.95" customHeight="1" x14ac:dyDescent="0.2">
      <c r="A40" s="127">
        <v>1665</v>
      </c>
      <c r="B40" s="85" t="s">
        <v>119</v>
      </c>
      <c r="C40" s="177"/>
      <c r="D40" s="83">
        <v>935051751.23000002</v>
      </c>
      <c r="E40" s="83">
        <v>924426251.23000002</v>
      </c>
      <c r="F40" s="83">
        <f t="shared" si="13"/>
        <v>10625500</v>
      </c>
      <c r="G40" s="137">
        <f t="shared" si="14"/>
        <v>1.1494156495298773E-2</v>
      </c>
      <c r="H40" s="47"/>
      <c r="I40" s="46" t="s">
        <v>13</v>
      </c>
      <c r="J40" s="49"/>
      <c r="K40" s="138">
        <f>+K9+K32</f>
        <v>26881747016.950001</v>
      </c>
      <c r="L40" s="138">
        <f t="shared" ref="L40:M40" si="15">+L9+L32</f>
        <v>22017801837.98</v>
      </c>
      <c r="M40" s="138">
        <f t="shared" si="15"/>
        <v>4863945178.9699993</v>
      </c>
      <c r="N40" s="140">
        <f>+M40/L40</f>
        <v>0.22090966277023397</v>
      </c>
      <c r="P40" s="44">
        <f>+D32/D53*100</f>
        <v>55.432875623929348</v>
      </c>
      <c r="R40" s="11"/>
      <c r="S40" s="11"/>
    </row>
    <row r="41" spans="1:26" s="2" customFormat="1" ht="24" customHeight="1" x14ac:dyDescent="0.2">
      <c r="A41" s="127">
        <v>1670</v>
      </c>
      <c r="B41" s="85" t="s">
        <v>120</v>
      </c>
      <c r="C41" s="177"/>
      <c r="D41" s="83">
        <v>10765342080.17</v>
      </c>
      <c r="E41" s="83">
        <v>10491248993.75</v>
      </c>
      <c r="F41" s="83">
        <f t="shared" si="13"/>
        <v>274093086.42000008</v>
      </c>
      <c r="G41" s="137">
        <f t="shared" si="14"/>
        <v>2.6125877536915462E-2</v>
      </c>
      <c r="H41" s="47"/>
      <c r="I41" s="46"/>
      <c r="J41" s="49"/>
      <c r="K41" s="208"/>
      <c r="L41" s="208"/>
      <c r="M41" s="208"/>
      <c r="N41" s="209"/>
      <c r="P41" s="11">
        <f>+D33/$D$32*100</f>
        <v>84.842256368784348</v>
      </c>
      <c r="R41" s="11"/>
      <c r="S41" s="11"/>
    </row>
    <row r="42" spans="1:26" s="2" customFormat="1" ht="24" customHeight="1" x14ac:dyDescent="0.2">
      <c r="A42" s="127">
        <v>1675</v>
      </c>
      <c r="B42" s="85" t="s">
        <v>121</v>
      </c>
      <c r="C42" s="177"/>
      <c r="D42" s="83">
        <v>1339741121</v>
      </c>
      <c r="E42" s="83">
        <v>1339741121</v>
      </c>
      <c r="F42" s="83">
        <f t="shared" si="13"/>
        <v>0</v>
      </c>
      <c r="G42" s="137">
        <f t="shared" si="14"/>
        <v>0</v>
      </c>
      <c r="H42" s="47"/>
      <c r="I42" s="46"/>
      <c r="J42" s="49"/>
      <c r="K42" s="84"/>
      <c r="L42" s="84"/>
      <c r="M42" s="84"/>
      <c r="N42" s="122"/>
      <c r="P42" s="11"/>
      <c r="R42" s="11"/>
      <c r="S42" s="11"/>
    </row>
    <row r="43" spans="1:26" s="2" customFormat="1" ht="21.95" customHeight="1" x14ac:dyDescent="0.2">
      <c r="A43" s="127">
        <v>1680</v>
      </c>
      <c r="B43" s="85" t="s">
        <v>122</v>
      </c>
      <c r="C43" s="177"/>
      <c r="D43" s="83">
        <v>374851954.25999999</v>
      </c>
      <c r="E43" s="83">
        <v>383947644.19999999</v>
      </c>
      <c r="F43" s="83">
        <f t="shared" si="13"/>
        <v>-9095689.9399999976</v>
      </c>
      <c r="G43" s="137">
        <f t="shared" si="14"/>
        <v>-2.3689922512617406E-2</v>
      </c>
      <c r="H43" s="53"/>
      <c r="I43" s="47"/>
      <c r="J43" s="77"/>
      <c r="K43" s="210"/>
      <c r="L43" s="210"/>
      <c r="M43" s="210"/>
      <c r="N43" s="211"/>
      <c r="P43" s="33">
        <f>+D34/$D$32*100</f>
        <v>9.0822445678607033E-2</v>
      </c>
      <c r="Q43" s="11">
        <f>+D32/D53*100</f>
        <v>55.432875623929348</v>
      </c>
      <c r="R43" s="11"/>
      <c r="S43" s="11"/>
    </row>
    <row r="44" spans="1:26" s="2" customFormat="1" ht="20.25" customHeight="1" x14ac:dyDescent="0.2">
      <c r="A44" s="127">
        <v>1681</v>
      </c>
      <c r="B44" s="85" t="s">
        <v>23</v>
      </c>
      <c r="C44" s="177"/>
      <c r="D44" s="83">
        <v>1435500037.78</v>
      </c>
      <c r="E44" s="83">
        <v>1425286682.78</v>
      </c>
      <c r="F44" s="83">
        <f t="shared" si="13"/>
        <v>10213355</v>
      </c>
      <c r="G44" s="137">
        <f>+F44/E44</f>
        <v>7.1658250395485396E-3</v>
      </c>
      <c r="H44" s="47"/>
      <c r="I44" s="214" t="s">
        <v>15</v>
      </c>
      <c r="J44" s="49"/>
      <c r="K44" s="138">
        <f>+K46</f>
        <v>441489204061.09003</v>
      </c>
      <c r="L44" s="138">
        <f>+L46</f>
        <v>454882533084.56</v>
      </c>
      <c r="M44" s="138">
        <f>+M46</f>
        <v>-13393329023.470009</v>
      </c>
      <c r="N44" s="140">
        <f>+M44/L44</f>
        <v>-2.9443489361197932E-2</v>
      </c>
      <c r="R44" s="11"/>
      <c r="S44" s="11"/>
    </row>
    <row r="45" spans="1:26" s="2" customFormat="1" ht="25.5" customHeight="1" x14ac:dyDescent="0.2">
      <c r="A45" s="120">
        <v>1685</v>
      </c>
      <c r="B45" s="85" t="s">
        <v>123</v>
      </c>
      <c r="C45" s="77"/>
      <c r="D45" s="83">
        <v>-16474995586.969999</v>
      </c>
      <c r="E45" s="83">
        <v>-15945736413.129999</v>
      </c>
      <c r="F45" s="83">
        <f t="shared" si="13"/>
        <v>-529259173.84000015</v>
      </c>
      <c r="G45" s="137">
        <f>+F45/E45</f>
        <v>3.3191265685553341E-2</v>
      </c>
      <c r="H45" s="53"/>
      <c r="I45" s="47"/>
      <c r="J45" s="77"/>
      <c r="K45" s="84"/>
      <c r="L45" s="84"/>
      <c r="M45" s="84"/>
      <c r="N45" s="128"/>
      <c r="P45" s="11"/>
      <c r="R45" s="11"/>
      <c r="S45" s="11"/>
    </row>
    <row r="46" spans="1:26" s="2" customFormat="1" ht="33.75" x14ac:dyDescent="0.2">
      <c r="A46" s="125">
        <v>17</v>
      </c>
      <c r="B46" s="151" t="s">
        <v>21</v>
      </c>
      <c r="C46" s="49"/>
      <c r="D46" s="84">
        <f>+D47</f>
        <v>46206747.32</v>
      </c>
      <c r="E46" s="84">
        <f>+E47</f>
        <v>46206747.32</v>
      </c>
      <c r="F46" s="84">
        <f>+F47</f>
        <v>0</v>
      </c>
      <c r="G46" s="136">
        <f>+F46/E46</f>
        <v>0</v>
      </c>
      <c r="H46" s="51">
        <v>31</v>
      </c>
      <c r="I46" s="151" t="s">
        <v>150</v>
      </c>
      <c r="J46" s="49"/>
      <c r="K46" s="84">
        <f>SUM(K47:K50)</f>
        <v>441489204061.09003</v>
      </c>
      <c r="L46" s="84">
        <f>SUM(L47:L50)</f>
        <v>454882533084.56</v>
      </c>
      <c r="M46" s="84">
        <f>SUM(M47:M50)</f>
        <v>-13393329023.470009</v>
      </c>
      <c r="N46" s="122">
        <f t="shared" ref="N46:N48" si="16">+M46/L46</f>
        <v>-2.9443489361197932E-2</v>
      </c>
      <c r="P46" s="11">
        <f>+D36/$D$32*100</f>
        <v>0.12432790747028626</v>
      </c>
      <c r="R46" s="11" t="e">
        <f>+K41/$K$38*100</f>
        <v>#DIV/0!</v>
      </c>
      <c r="S46" s="11"/>
    </row>
    <row r="47" spans="1:26" s="2" customFormat="1" ht="21.75" customHeight="1" x14ac:dyDescent="0.2">
      <c r="A47" s="127">
        <v>1715</v>
      </c>
      <c r="B47" s="54" t="s">
        <v>22</v>
      </c>
      <c r="C47" s="78"/>
      <c r="D47" s="83">
        <v>46206747.32</v>
      </c>
      <c r="E47" s="83">
        <v>46206747.32</v>
      </c>
      <c r="F47" s="83">
        <f>+D47-E47</f>
        <v>0</v>
      </c>
      <c r="G47" s="137">
        <f>+F47/E47</f>
        <v>0</v>
      </c>
      <c r="H47" s="52">
        <v>3105</v>
      </c>
      <c r="I47" s="85" t="s">
        <v>18</v>
      </c>
      <c r="J47" s="77"/>
      <c r="K47" s="83">
        <v>44239962579.480003</v>
      </c>
      <c r="L47" s="83">
        <v>44239962579.480003</v>
      </c>
      <c r="M47" s="83">
        <f>+K47-L47</f>
        <v>0</v>
      </c>
      <c r="N47" s="123">
        <f>+M47/L47</f>
        <v>0</v>
      </c>
      <c r="P47" s="33">
        <f>+D37/$D$32*100</f>
        <v>13.93702115555649</v>
      </c>
      <c r="R47" s="11" t="e">
        <f>+K44/$K$38*100</f>
        <v>#DIV/0!</v>
      </c>
      <c r="S47" s="11"/>
    </row>
    <row r="48" spans="1:26" s="2" customFormat="1" ht="30" customHeight="1" x14ac:dyDescent="0.2">
      <c r="A48" s="125">
        <v>19</v>
      </c>
      <c r="B48" s="50" t="s">
        <v>11</v>
      </c>
      <c r="C48" s="49"/>
      <c r="D48" s="84">
        <f>SUM(D49:D52)</f>
        <v>2154438265.2400002</v>
      </c>
      <c r="E48" s="84">
        <f>SUM(E49:E52)</f>
        <v>2236605845.2400002</v>
      </c>
      <c r="F48" s="84">
        <f>SUM(F49:F52)</f>
        <v>-82167580</v>
      </c>
      <c r="G48" s="136">
        <f t="shared" ref="G48" si="17">+F48/E48</f>
        <v>-3.6737621952867137E-2</v>
      </c>
      <c r="H48" s="52">
        <v>3109</v>
      </c>
      <c r="I48" s="85" t="s">
        <v>151</v>
      </c>
      <c r="J48" s="77"/>
      <c r="K48" s="83">
        <v>365186420179.53003</v>
      </c>
      <c r="L48" s="83">
        <v>365164662588.53003</v>
      </c>
      <c r="M48" s="83">
        <f>+K48-L48</f>
        <v>21757591</v>
      </c>
      <c r="N48" s="123">
        <f t="shared" si="16"/>
        <v>5.9582958673404272E-5</v>
      </c>
      <c r="P48" s="11">
        <f>+D39/$D$32*100</f>
        <v>0.87101419736813712</v>
      </c>
      <c r="R48" s="11" t="e">
        <f>+K45/$K$38*100</f>
        <v>#DIV/0!</v>
      </c>
      <c r="S48" s="11"/>
    </row>
    <row r="49" spans="1:26" s="2" customFormat="1" ht="17.25" customHeight="1" x14ac:dyDescent="0.2">
      <c r="A49" s="127"/>
      <c r="B49" s="85"/>
      <c r="C49" s="77"/>
      <c r="D49" s="83"/>
      <c r="E49" s="83"/>
      <c r="F49" s="83"/>
      <c r="G49" s="137"/>
      <c r="H49" s="52">
        <v>3110</v>
      </c>
      <c r="I49" s="85" t="s">
        <v>20</v>
      </c>
      <c r="J49" s="77"/>
      <c r="K49" s="83">
        <f>+'EST RESUL JUNIO 2025-2024'!D77</f>
        <v>32062821302.079994</v>
      </c>
      <c r="L49" s="83">
        <v>45477907916.550003</v>
      </c>
      <c r="M49" s="83">
        <f>+K49-L49</f>
        <v>-13415086614.470009</v>
      </c>
      <c r="N49" s="123">
        <f>+M49/L49</f>
        <v>-0.29498029326868141</v>
      </c>
      <c r="P49" s="11">
        <f>+D40/$D$32*100</f>
        <v>0.34005775404185867</v>
      </c>
      <c r="R49" s="11" t="e">
        <f>+#REF!/$K$38*100</f>
        <v>#REF!</v>
      </c>
      <c r="S49" s="11"/>
    </row>
    <row r="50" spans="1:26" s="2" customFormat="1" ht="24.75" customHeight="1" x14ac:dyDescent="0.2">
      <c r="A50" s="127">
        <v>1909</v>
      </c>
      <c r="B50" s="85" t="s">
        <v>124</v>
      </c>
      <c r="C50" s="77"/>
      <c r="D50" s="83">
        <v>1263704</v>
      </c>
      <c r="E50" s="83">
        <v>0</v>
      </c>
      <c r="F50" s="83">
        <f>+D50-E50</f>
        <v>1263704</v>
      </c>
      <c r="G50" s="213" t="s">
        <v>6</v>
      </c>
      <c r="H50" s="52"/>
      <c r="I50" s="85"/>
      <c r="J50" s="77"/>
      <c r="K50" s="83"/>
      <c r="L50" s="83"/>
      <c r="M50" s="83"/>
      <c r="N50" s="123"/>
      <c r="P50" s="33">
        <f>+D41/$D$32*100</f>
        <v>3.9151181145421368</v>
      </c>
      <c r="R50" s="11"/>
      <c r="S50" s="11"/>
    </row>
    <row r="51" spans="1:26" s="2" customFormat="1" ht="17.25" customHeight="1" x14ac:dyDescent="0.2">
      <c r="A51" s="127">
        <v>1970</v>
      </c>
      <c r="B51" s="85" t="s">
        <v>125</v>
      </c>
      <c r="C51" s="77"/>
      <c r="D51" s="83">
        <v>3165338164.6700001</v>
      </c>
      <c r="E51" s="83">
        <v>3163011364.6700001</v>
      </c>
      <c r="F51" s="83">
        <f>+D51-E51</f>
        <v>2326800</v>
      </c>
      <c r="G51" s="137">
        <f t="shared" ref="G51:G52" si="18">+F51/E51</f>
        <v>7.3562808720504147E-4</v>
      </c>
      <c r="H51" s="47"/>
      <c r="I51" s="47"/>
      <c r="J51" s="77"/>
      <c r="K51" s="83"/>
      <c r="L51" s="83"/>
      <c r="M51" s="83"/>
      <c r="N51" s="128"/>
      <c r="P51" s="11">
        <f>+D42/$D$32*100</f>
        <v>0.48723437607114656</v>
      </c>
      <c r="R51" s="11"/>
      <c r="S51" s="11"/>
      <c r="Y51" s="12"/>
    </row>
    <row r="52" spans="1:26" s="2" customFormat="1" ht="22.5" customHeight="1" x14ac:dyDescent="0.2">
      <c r="A52" s="120">
        <v>1975</v>
      </c>
      <c r="B52" s="85" t="s">
        <v>126</v>
      </c>
      <c r="C52" s="77"/>
      <c r="D52" s="83">
        <v>-1012163603.4299999</v>
      </c>
      <c r="E52" s="83">
        <v>-926405519.42999995</v>
      </c>
      <c r="F52" s="83">
        <f>+D52-E52</f>
        <v>-85758084</v>
      </c>
      <c r="G52" s="137">
        <f t="shared" si="18"/>
        <v>9.2570782666283505E-2</v>
      </c>
      <c r="H52" s="47"/>
      <c r="I52" s="47"/>
      <c r="J52" s="77"/>
      <c r="K52" s="83"/>
      <c r="L52" s="83"/>
      <c r="M52" s="83"/>
      <c r="N52" s="128"/>
      <c r="P52" s="11">
        <f>+D43/$D$32*100</f>
        <v>0.13632541032747852</v>
      </c>
      <c r="R52" s="11"/>
      <c r="S52" s="11"/>
      <c r="Y52" s="12"/>
      <c r="Z52" s="12"/>
    </row>
    <row r="53" spans="1:26" s="2" customFormat="1" ht="27" customHeight="1" thickBot="1" x14ac:dyDescent="0.25">
      <c r="A53" s="144"/>
      <c r="B53" s="145" t="s">
        <v>24</v>
      </c>
      <c r="C53" s="146"/>
      <c r="D53" s="147">
        <f>+D9+D28</f>
        <v>496038696126.71008</v>
      </c>
      <c r="E53" s="147">
        <f>+E9+E28</f>
        <v>476900334922.54004</v>
      </c>
      <c r="F53" s="147">
        <f>+F9+F28</f>
        <v>19138361204.170006</v>
      </c>
      <c r="G53" s="148">
        <f>+F53/E53</f>
        <v>4.0130735507406451E-2</v>
      </c>
      <c r="H53" s="149"/>
      <c r="I53" s="145" t="s">
        <v>25</v>
      </c>
      <c r="J53" s="146"/>
      <c r="K53" s="147">
        <f>+K40+K44</f>
        <v>468370951078.04004</v>
      </c>
      <c r="L53" s="147">
        <f>+L40+L44</f>
        <v>476900334922.53998</v>
      </c>
      <c r="M53" s="147">
        <f>+M40+M44</f>
        <v>-8529383844.5000095</v>
      </c>
      <c r="N53" s="150">
        <f>+M53/L53</f>
        <v>-1.7885044777511815E-2</v>
      </c>
      <c r="R53" s="11"/>
      <c r="S53" s="11"/>
      <c r="Y53" s="12"/>
      <c r="Z53" s="12"/>
    </row>
    <row r="54" spans="1:26" s="2" customFormat="1" ht="27" customHeight="1" x14ac:dyDescent="0.2">
      <c r="A54" s="155">
        <v>8</v>
      </c>
      <c r="B54" s="152" t="s">
        <v>26</v>
      </c>
      <c r="C54" s="153"/>
      <c r="D54" s="154">
        <f>+D55+D61+D58</f>
        <v>0</v>
      </c>
      <c r="E54" s="154">
        <f>+E55+E61+E58</f>
        <v>0</v>
      </c>
      <c r="F54" s="154">
        <f>+F55+F61+F58</f>
        <v>0</v>
      </c>
      <c r="G54" s="190">
        <v>0</v>
      </c>
      <c r="H54" s="191">
        <v>9</v>
      </c>
      <c r="I54" s="178" t="s">
        <v>27</v>
      </c>
      <c r="J54" s="153"/>
      <c r="K54" s="154">
        <f>+K55+K59+K61</f>
        <v>0</v>
      </c>
      <c r="L54" s="154">
        <f>+L55+L59+L61</f>
        <v>0</v>
      </c>
      <c r="M54" s="154">
        <f>+M55+M59+M61</f>
        <v>0</v>
      </c>
      <c r="N54" s="156">
        <v>0</v>
      </c>
      <c r="Q54" s="11" t="e">
        <f>+#REF!/D53*100</f>
        <v>#REF!</v>
      </c>
      <c r="R54" s="11"/>
      <c r="S54" s="11"/>
    </row>
    <row r="55" spans="1:26" s="2" customFormat="1" ht="20.25" customHeight="1" x14ac:dyDescent="0.2">
      <c r="A55" s="125">
        <v>81</v>
      </c>
      <c r="B55" s="46" t="s">
        <v>141</v>
      </c>
      <c r="C55" s="49"/>
      <c r="D55" s="84">
        <f>SUM(D56:D57)</f>
        <v>547763833.13999999</v>
      </c>
      <c r="E55" s="84">
        <f t="shared" ref="E55:F55" si="19">SUM(E56:E57)</f>
        <v>752063177</v>
      </c>
      <c r="F55" s="84">
        <f t="shared" si="19"/>
        <v>-204299343.86000001</v>
      </c>
      <c r="G55" s="189">
        <f>+F55/E55</f>
        <v>-0.27165183738280541</v>
      </c>
      <c r="H55" s="192">
        <v>91</v>
      </c>
      <c r="I55" s="50" t="s">
        <v>145</v>
      </c>
      <c r="J55" s="49"/>
      <c r="K55" s="84">
        <f>SUM(K56:K58)</f>
        <v>3661603200.6799998</v>
      </c>
      <c r="L55" s="84">
        <f>SUM(L56:L58)</f>
        <v>3679120741.6799998</v>
      </c>
      <c r="M55" s="84">
        <f>SUM(M56:M58)</f>
        <v>-17517541</v>
      </c>
      <c r="N55" s="122">
        <f>+M55/L55</f>
        <v>-4.7613389801393008E-3</v>
      </c>
      <c r="R55" s="11"/>
      <c r="S55" s="11"/>
    </row>
    <row r="56" spans="1:26" s="2" customFormat="1" ht="21.75" customHeight="1" x14ac:dyDescent="0.2">
      <c r="A56" s="124">
        <v>8120</v>
      </c>
      <c r="B56" s="85" t="s">
        <v>142</v>
      </c>
      <c r="C56" s="77"/>
      <c r="D56" s="83">
        <v>13544742</v>
      </c>
      <c r="E56" s="83">
        <v>15528742</v>
      </c>
      <c r="F56" s="83">
        <f>+D56-E56</f>
        <v>-1984000</v>
      </c>
      <c r="G56" s="184">
        <f>+F56/E56</f>
        <v>-0.12776308602461164</v>
      </c>
      <c r="H56" s="187">
        <v>9120</v>
      </c>
      <c r="I56" s="85" t="s">
        <v>142</v>
      </c>
      <c r="J56" s="77"/>
      <c r="K56" s="83">
        <v>247891726.68000001</v>
      </c>
      <c r="L56" s="83">
        <v>265409267.68000001</v>
      </c>
      <c r="M56" s="83">
        <f>+K56-L56</f>
        <v>-17517541</v>
      </c>
      <c r="N56" s="123">
        <f t="shared" ref="N56" si="20">+M56/L56</f>
        <v>-6.6001994403302594E-2</v>
      </c>
      <c r="O56" s="12"/>
      <c r="Q56" s="12"/>
      <c r="R56" s="11"/>
      <c r="S56" s="11"/>
    </row>
    <row r="57" spans="1:26" s="2" customFormat="1" ht="24" customHeight="1" x14ac:dyDescent="0.2">
      <c r="A57" s="124">
        <v>8190</v>
      </c>
      <c r="B57" s="85" t="s">
        <v>143</v>
      </c>
      <c r="C57" s="77"/>
      <c r="D57" s="83">
        <v>534219091.13999999</v>
      </c>
      <c r="E57" s="83">
        <v>736534435</v>
      </c>
      <c r="F57" s="83">
        <f>+D57-E57</f>
        <v>-202315343.86000001</v>
      </c>
      <c r="G57" s="184">
        <f>+F57/E57</f>
        <v>-0.27468551943535408</v>
      </c>
      <c r="H57" s="187">
        <v>9190</v>
      </c>
      <c r="I57" s="85" t="s">
        <v>201</v>
      </c>
      <c r="J57" s="77"/>
      <c r="K57" s="83">
        <v>3413711474</v>
      </c>
      <c r="L57" s="83">
        <v>3413711474</v>
      </c>
      <c r="M57" s="83">
        <f>+K57-L57</f>
        <v>0</v>
      </c>
      <c r="N57" s="123">
        <f t="shared" ref="N57" si="21">+M57/L57</f>
        <v>0</v>
      </c>
      <c r="P57" s="12">
        <f>+D53-K53</f>
        <v>27667745048.670044</v>
      </c>
    </row>
    <row r="58" spans="1:26" s="2" customFormat="1" ht="12" x14ac:dyDescent="0.2">
      <c r="A58" s="125"/>
      <c r="B58" s="99"/>
      <c r="C58" s="77"/>
      <c r="D58" s="87"/>
      <c r="E58" s="87"/>
      <c r="F58" s="87"/>
      <c r="G58" s="159"/>
      <c r="H58" s="187"/>
      <c r="I58" s="85"/>
      <c r="J58" s="77"/>
      <c r="K58" s="83"/>
      <c r="L58" s="83"/>
      <c r="M58" s="83"/>
      <c r="N58" s="123"/>
    </row>
    <row r="59" spans="1:26" s="2" customFormat="1" ht="20.25" customHeight="1" x14ac:dyDescent="0.2">
      <c r="A59" s="125"/>
      <c r="B59" s="99"/>
      <c r="C59" s="77"/>
      <c r="D59" s="87"/>
      <c r="E59" s="87"/>
      <c r="F59" s="87"/>
      <c r="G59" s="159"/>
      <c r="H59" s="192">
        <v>93</v>
      </c>
      <c r="I59" s="50" t="s">
        <v>212</v>
      </c>
      <c r="J59" s="49"/>
      <c r="K59" s="84">
        <f>SUM(K60)</f>
        <v>102054938.31</v>
      </c>
      <c r="L59" s="84">
        <f>SUM(L60)</f>
        <v>0</v>
      </c>
      <c r="M59" s="84">
        <f>SUM(M60)</f>
        <v>102054938.31</v>
      </c>
      <c r="N59" s="193" t="s">
        <v>6</v>
      </c>
    </row>
    <row r="60" spans="1:26" s="2" customFormat="1" ht="21" customHeight="1" x14ac:dyDescent="0.2">
      <c r="A60" s="125"/>
      <c r="B60" s="99"/>
      <c r="C60" s="77"/>
      <c r="D60" s="87"/>
      <c r="E60" s="87"/>
      <c r="F60" s="87"/>
      <c r="G60" s="159"/>
      <c r="H60" s="187">
        <v>9308</v>
      </c>
      <c r="I60" s="85" t="s">
        <v>213</v>
      </c>
      <c r="J60" s="77"/>
      <c r="K60" s="83">
        <v>102054938.31</v>
      </c>
      <c r="L60" s="83">
        <v>0</v>
      </c>
      <c r="M60" s="83">
        <f>+K60-L60</f>
        <v>102054938.31</v>
      </c>
      <c r="N60" s="126" t="s">
        <v>6</v>
      </c>
    </row>
    <row r="61" spans="1:26" s="2" customFormat="1" ht="33" customHeight="1" x14ac:dyDescent="0.2">
      <c r="A61" s="125">
        <v>89</v>
      </c>
      <c r="B61" s="50" t="s">
        <v>199</v>
      </c>
      <c r="C61" s="49"/>
      <c r="D61" s="84">
        <f>SUM(D62:D63)</f>
        <v>-547763833.13999999</v>
      </c>
      <c r="E61" s="84">
        <f>SUM(E62:E63)</f>
        <v>-752063177</v>
      </c>
      <c r="F61" s="84">
        <f>SUM(F62:F63)</f>
        <v>204299343.86000001</v>
      </c>
      <c r="G61" s="186">
        <f>+F61/E61</f>
        <v>-0.27165183738280541</v>
      </c>
      <c r="H61" s="188">
        <v>99</v>
      </c>
      <c r="I61" s="99" t="s">
        <v>198</v>
      </c>
      <c r="J61" s="49"/>
      <c r="K61" s="87">
        <f>SUM(K62:K63)</f>
        <v>-3763658138.9899998</v>
      </c>
      <c r="L61" s="87">
        <f>SUM(L62:L63)</f>
        <v>-3679120741.6799998</v>
      </c>
      <c r="M61" s="87">
        <f>SUM(M62:M63)</f>
        <v>-84537397.310000002</v>
      </c>
      <c r="N61" s="122">
        <f>+M61/L61</f>
        <v>2.2977608848846212E-2</v>
      </c>
    </row>
    <row r="62" spans="1:26" s="2" customFormat="1" ht="22.5" x14ac:dyDescent="0.2">
      <c r="A62" s="124">
        <v>8905</v>
      </c>
      <c r="B62" s="85" t="s">
        <v>144</v>
      </c>
      <c r="C62" s="49"/>
      <c r="D62" s="83">
        <v>-547763833.13999999</v>
      </c>
      <c r="E62" s="83">
        <v>-752063177</v>
      </c>
      <c r="F62" s="83">
        <f>+D62-E62</f>
        <v>204299343.86000001</v>
      </c>
      <c r="G62" s="194">
        <f>+F62/E62</f>
        <v>-0.27165183738280541</v>
      </c>
      <c r="H62" s="55">
        <v>9905</v>
      </c>
      <c r="I62" s="85" t="s">
        <v>203</v>
      </c>
      <c r="J62" s="49"/>
      <c r="K62" s="83">
        <v>-3661603200.6799998</v>
      </c>
      <c r="L62" s="83">
        <v>-3679120741.6799998</v>
      </c>
      <c r="M62" s="83">
        <f>+K62-L62</f>
        <v>17517541</v>
      </c>
      <c r="N62" s="123">
        <f t="shared" ref="N62" si="22">+M62/L62</f>
        <v>-4.7613389801393008E-3</v>
      </c>
      <c r="V62" s="90"/>
    </row>
    <row r="63" spans="1:26" s="2" customFormat="1" ht="22.5" x14ac:dyDescent="0.2">
      <c r="A63" s="124"/>
      <c r="B63" s="85"/>
      <c r="C63" s="77"/>
      <c r="D63" s="88"/>
      <c r="E63" s="88"/>
      <c r="F63" s="83"/>
      <c r="G63" s="195"/>
      <c r="H63" s="55">
        <v>9915</v>
      </c>
      <c r="I63" s="85" t="s">
        <v>206</v>
      </c>
      <c r="J63" s="77"/>
      <c r="K63" s="83">
        <v>-102054938.31</v>
      </c>
      <c r="L63" s="83">
        <v>0</v>
      </c>
      <c r="M63" s="83">
        <f>+K63-L63</f>
        <v>-102054938.31</v>
      </c>
      <c r="N63" s="126" t="s">
        <v>6</v>
      </c>
      <c r="U63" s="90"/>
      <c r="V63" s="90"/>
    </row>
    <row r="64" spans="1:26" x14ac:dyDescent="0.2">
      <c r="A64" s="124"/>
      <c r="B64" s="85"/>
      <c r="C64" s="77"/>
      <c r="D64" s="88"/>
      <c r="E64" s="88"/>
      <c r="F64" s="83"/>
      <c r="G64" s="185"/>
      <c r="H64" s="55"/>
      <c r="I64" s="85"/>
      <c r="J64" s="77"/>
      <c r="K64" s="88"/>
      <c r="L64" s="88"/>
      <c r="M64" s="83"/>
      <c r="N64" s="126"/>
      <c r="O64" s="2"/>
      <c r="P64" s="2"/>
      <c r="Q64" s="2"/>
      <c r="R64" s="2"/>
      <c r="S64" s="2"/>
      <c r="T64" s="2"/>
    </row>
    <row r="65" spans="1:20" ht="42.75" customHeight="1" x14ac:dyDescent="0.2">
      <c r="A65" s="277" t="s">
        <v>222</v>
      </c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9"/>
      <c r="O65" s="2"/>
      <c r="P65" s="2"/>
      <c r="Q65" s="2"/>
      <c r="R65" s="2"/>
      <c r="S65" s="2"/>
      <c r="T65" s="2"/>
    </row>
    <row r="66" spans="1:20" ht="24" customHeight="1" x14ac:dyDescent="0.2">
      <c r="A66" s="113"/>
      <c r="B66" s="6"/>
      <c r="C66" s="79"/>
      <c r="D66" s="25"/>
      <c r="E66" s="5"/>
      <c r="F66" s="5"/>
      <c r="G66" s="5"/>
      <c r="H66" s="6"/>
      <c r="I66" s="25"/>
      <c r="J66" s="81"/>
      <c r="K66" s="25"/>
      <c r="L66" s="5"/>
      <c r="M66" s="5"/>
      <c r="N66" s="129"/>
    </row>
    <row r="67" spans="1:20" ht="28.5" customHeight="1" x14ac:dyDescent="0.2">
      <c r="A67" s="113"/>
      <c r="B67" s="6"/>
      <c r="C67" s="79"/>
      <c r="D67" s="25"/>
      <c r="E67" s="5"/>
      <c r="F67" s="5"/>
      <c r="G67" s="5"/>
      <c r="H67" s="6"/>
      <c r="I67" s="6"/>
      <c r="J67" s="79"/>
      <c r="K67" s="25"/>
      <c r="L67" s="5"/>
      <c r="M67" s="5"/>
      <c r="N67" s="129"/>
    </row>
    <row r="68" spans="1:20" x14ac:dyDescent="0.2">
      <c r="A68" s="175" t="s">
        <v>217</v>
      </c>
      <c r="B68" s="220"/>
      <c r="C68" s="221"/>
      <c r="D68" s="220"/>
      <c r="E68" s="221" t="s">
        <v>100</v>
      </c>
      <c r="F68" s="21"/>
      <c r="G68" s="21"/>
      <c r="H68" s="7"/>
      <c r="I68" s="7"/>
      <c r="J68" s="73"/>
      <c r="K68" s="91" t="s">
        <v>207</v>
      </c>
      <c r="L68" s="21"/>
      <c r="M68" s="5"/>
      <c r="N68" s="129"/>
    </row>
    <row r="69" spans="1:20" x14ac:dyDescent="0.2">
      <c r="A69" s="258" t="s">
        <v>218</v>
      </c>
      <c r="B69" s="254"/>
      <c r="C69" s="254"/>
      <c r="D69" s="254"/>
      <c r="E69" s="254" t="s">
        <v>101</v>
      </c>
      <c r="F69" s="254"/>
      <c r="G69" s="254"/>
      <c r="H69" s="254"/>
      <c r="I69" s="220"/>
      <c r="J69" s="220"/>
      <c r="K69" s="91" t="s">
        <v>29</v>
      </c>
      <c r="L69" s="100"/>
      <c r="M69" s="101"/>
      <c r="N69" s="130"/>
    </row>
    <row r="70" spans="1:20" x14ac:dyDescent="0.2">
      <c r="A70" s="259" t="s">
        <v>219</v>
      </c>
      <c r="B70" s="260"/>
      <c r="C70" s="260"/>
      <c r="D70" s="260"/>
      <c r="E70" s="255" t="s">
        <v>147</v>
      </c>
      <c r="F70" s="255"/>
      <c r="G70" s="255"/>
      <c r="H70" s="255"/>
      <c r="I70" s="7"/>
      <c r="J70" s="218"/>
      <c r="K70" s="219" t="s">
        <v>148</v>
      </c>
      <c r="L70" s="100"/>
      <c r="M70" s="101"/>
      <c r="N70" s="130"/>
    </row>
    <row r="71" spans="1:20" ht="13.5" thickBot="1" x14ac:dyDescent="0.25">
      <c r="A71" s="249"/>
      <c r="B71" s="250"/>
      <c r="C71" s="217"/>
      <c r="D71" s="131"/>
      <c r="E71" s="217"/>
      <c r="F71" s="217"/>
      <c r="G71" s="217"/>
      <c r="H71" s="217"/>
      <c r="I71" s="217"/>
      <c r="J71" s="217"/>
      <c r="K71" s="176" t="s">
        <v>149</v>
      </c>
      <c r="L71" s="132"/>
      <c r="M71" s="133"/>
      <c r="N71" s="134"/>
    </row>
    <row r="75" spans="1:20" ht="13.5" thickBot="1" x14ac:dyDescent="0.25">
      <c r="A75" s="90">
        <v>1</v>
      </c>
      <c r="B75" s="28" t="s">
        <v>30</v>
      </c>
      <c r="C75" s="28"/>
      <c r="D75" s="22">
        <v>2022</v>
      </c>
      <c r="E75" s="22">
        <v>2021</v>
      </c>
      <c r="K75" s="41" t="s">
        <v>210</v>
      </c>
    </row>
    <row r="77" spans="1:20" x14ac:dyDescent="0.2">
      <c r="A77" s="90">
        <v>1.1000000000000001</v>
      </c>
      <c r="B77" s="3" t="s">
        <v>31</v>
      </c>
      <c r="C77" s="8"/>
      <c r="D77" s="14">
        <f>+D9-K9</f>
        <v>192432718418.13998</v>
      </c>
      <c r="E77" s="14">
        <f>+E9-L9</f>
        <v>177868330189.57999</v>
      </c>
      <c r="F77" s="20" t="s">
        <v>32</v>
      </c>
      <c r="I77" s="14">
        <f>+D77-E77</f>
        <v>14564388228.559998</v>
      </c>
      <c r="J77" s="82"/>
      <c r="K77" s="122">
        <f>+I77/E77</f>
        <v>8.1882976092689602E-2</v>
      </c>
    </row>
    <row r="78" spans="1:20" hidden="1" x14ac:dyDescent="0.2">
      <c r="A78" s="90">
        <v>1.2</v>
      </c>
      <c r="B78" s="3" t="s">
        <v>33</v>
      </c>
      <c r="C78" s="8"/>
      <c r="D78" s="14">
        <f>+D9/K9</f>
        <v>8.279748713334838</v>
      </c>
      <c r="E78" s="14">
        <f>+E9/L9</f>
        <v>9.2616813337616204</v>
      </c>
      <c r="F78" s="20" t="s">
        <v>34</v>
      </c>
      <c r="I78" s="14">
        <f>+D78-E78</f>
        <v>-0.98193262042678242</v>
      </c>
      <c r="J78" s="82"/>
      <c r="K78" s="122">
        <f>+I78/E78</f>
        <v>-0.10602098960664323</v>
      </c>
    </row>
    <row r="80" spans="1:20" x14ac:dyDescent="0.2">
      <c r="A80" s="90">
        <v>2</v>
      </c>
      <c r="B80" s="3" t="s">
        <v>35</v>
      </c>
      <c r="C80" s="8"/>
      <c r="D80" s="14">
        <f>+K40/D53*100</f>
        <v>5.4192842669038912</v>
      </c>
      <c r="E80" s="14">
        <f>+L40/E53*100</f>
        <v>4.6168560232938844</v>
      </c>
      <c r="F80" s="20" t="s">
        <v>36</v>
      </c>
      <c r="I80" s="14">
        <f>+D80-E80</f>
        <v>0.80242824361000675</v>
      </c>
      <c r="J80" s="82"/>
      <c r="K80" s="122">
        <f>+I80/E80</f>
        <v>0.17380404317601317</v>
      </c>
    </row>
    <row r="82" spans="2:14" x14ac:dyDescent="0.2">
      <c r="B82" s="28"/>
      <c r="C82" s="28"/>
      <c r="D82" s="20" t="e">
        <f>+D9-#REF!</f>
        <v>#REF!</v>
      </c>
      <c r="E82" s="20"/>
      <c r="F82" s="21"/>
      <c r="G82" s="10"/>
      <c r="H82" s="29"/>
      <c r="I82" s="89"/>
      <c r="K82" s="9"/>
      <c r="L82" s="247"/>
      <c r="M82" s="247"/>
      <c r="N82" s="247"/>
    </row>
    <row r="83" spans="2:14" x14ac:dyDescent="0.2">
      <c r="D83" s="14" t="e">
        <f>+D82/K9</f>
        <v>#REF!</v>
      </c>
    </row>
    <row r="85" spans="2:14" x14ac:dyDescent="0.2">
      <c r="I85" s="14"/>
      <c r="J85" s="82"/>
    </row>
  </sheetData>
  <mergeCells count="24">
    <mergeCell ref="I6:I7"/>
    <mergeCell ref="J6:J7"/>
    <mergeCell ref="N6:N7"/>
    <mergeCell ref="A1:N1"/>
    <mergeCell ref="A2:N2"/>
    <mergeCell ref="A3:N3"/>
    <mergeCell ref="A4:N4"/>
    <mergeCell ref="A5:N5"/>
    <mergeCell ref="P6:Q6"/>
    <mergeCell ref="R6:S6"/>
    <mergeCell ref="A71:B71"/>
    <mergeCell ref="L82:N82"/>
    <mergeCell ref="A69:B69"/>
    <mergeCell ref="C69:D69"/>
    <mergeCell ref="E69:H69"/>
    <mergeCell ref="A70:B70"/>
    <mergeCell ref="C70:D70"/>
    <mergeCell ref="E70:H70"/>
    <mergeCell ref="A65:N65"/>
    <mergeCell ref="A6:A7"/>
    <mergeCell ref="B6:B7"/>
    <mergeCell ref="C6:C7"/>
    <mergeCell ref="G6:G7"/>
    <mergeCell ref="H6:H7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B9337DE63EBB4196184082924F21E1" ma:contentTypeVersion="18" ma:contentTypeDescription="Crear nuevo documento." ma:contentTypeScope="" ma:versionID="8d4891a26e048f09599a1423299faed6">
  <xsd:schema xmlns:xsd="http://www.w3.org/2001/XMLSchema" xmlns:xs="http://www.w3.org/2001/XMLSchema" xmlns:p="http://schemas.microsoft.com/office/2006/metadata/properties" xmlns:ns3="5259c430-9111-4fe8-9885-0482517866d7" xmlns:ns4="848c6564-7458-4a1e-985e-3daf28c914c8" targetNamespace="http://schemas.microsoft.com/office/2006/metadata/properties" ma:root="true" ma:fieldsID="1d6b6203e4612276bf9db135abf1a344" ns3:_="" ns4:_="">
    <xsd:import namespace="5259c430-9111-4fe8-9885-0482517866d7"/>
    <xsd:import namespace="848c6564-7458-4a1e-985e-3daf28c914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c430-9111-4fe8-9885-0482517866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c6564-7458-4a1e-985e-3daf28c91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8c6564-7458-4a1e-985e-3daf28c914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DE4A7-B4DE-4711-8598-2EFAAB8E7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9c430-9111-4fe8-9885-0482517866d7"/>
    <ds:schemaRef ds:uri="848c6564-7458-4a1e-985e-3daf28c91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D6B07-9AA5-4226-8F28-C5C9E151F6EB}">
  <ds:schemaRefs>
    <ds:schemaRef ds:uri="http://www.w3.org/XML/1998/namespace"/>
    <ds:schemaRef ds:uri="http://schemas.microsoft.com/office/2006/documentManagement/types"/>
    <ds:schemaRef ds:uri="http://purl.org/dc/elements/1.1/"/>
    <ds:schemaRef ds:uri="848c6564-7458-4a1e-985e-3daf28c914c8"/>
    <ds:schemaRef ds:uri="http://schemas.microsoft.com/office/infopath/2007/PartnerControls"/>
    <ds:schemaRef ds:uri="http://purl.org/dc/terms/"/>
    <ds:schemaRef ds:uri="5259c430-9111-4fe8-9885-0482517866d7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0A9BFF-E02E-468B-AC9D-FBA69314DD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EST SIT FINAN JUNIO 2025-2024</vt:lpstr>
      <vt:lpstr>EST RESUL JUNIO 2025-2024</vt:lpstr>
      <vt:lpstr>EST SIT FINAN JUNI - MARZO 2025</vt:lpstr>
      <vt:lpstr>EST SIT FINAN SEP Y JUN 2023</vt:lpstr>
      <vt:lpstr>'EST RESUL JUNIO 2025-2024'!Área_de_impresión</vt:lpstr>
      <vt:lpstr>'EST SIT FINAN JUNI - MARZO 2025'!Área_de_impresión</vt:lpstr>
      <vt:lpstr>'EST SIT FINAN JUNIO 2025-2024'!Área_de_impresión</vt:lpstr>
      <vt:lpstr>'EST SIT FINAN SEP Y JUN 2023'!Área_de_impresión</vt:lpstr>
      <vt:lpstr>'EST RESUL JUNIO 2025-2024'!Títulos_a_imprimir</vt:lpstr>
      <vt:lpstr>'EST SIT FINAN JUNI - MARZO 2025'!Títulos_a_imprimir</vt:lpstr>
      <vt:lpstr>'EST SIT FINAN JUNIO 2025-2024'!Títulos_a_imprimir</vt:lpstr>
      <vt:lpstr>'EST SIT FINAN SEP Y JUN 2023'!Títulos_a_imprimir</vt:lpstr>
    </vt:vector>
  </TitlesOfParts>
  <Company>upn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upn</dc:creator>
  <cp:lastModifiedBy>M.</cp:lastModifiedBy>
  <cp:revision/>
  <cp:lastPrinted>2025-07-29T00:34:31Z</cp:lastPrinted>
  <dcterms:created xsi:type="dcterms:W3CDTF">2009-11-14T02:04:31Z</dcterms:created>
  <dcterms:modified xsi:type="dcterms:W3CDTF">2025-07-29T00:44:13Z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0x01010098B9337DE63EBB4196184082924F21E1</vt:lpwstr>
  </property>
</Properties>
</file>