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dagogicaedu-my.sharepoint.com/personal/guerramsfn_pedagogica_edu_co/Documents/A DATADRIV/INFORMES FINANCIEROS Y CONTABLES 2025/"/>
    </mc:Choice>
  </mc:AlternateContent>
  <xr:revisionPtr revIDLastSave="0" documentId="8_{0D402108-82C4-4117-A492-F3E28C258308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EST SIT FINAN DICIEMB 2025-2024" sheetId="10" r:id="rId1"/>
    <sheet name="EST RESUL DICIEMBRE 2025-2024" sheetId="6" r:id="rId2"/>
    <sheet name="EST SIT FINAN JUNI - MARZO 2025" sheetId="12" state="hidden" r:id="rId3"/>
    <sheet name="EST SIT FINAN SEPT-JUN 25" sheetId="13" state="hidden" r:id="rId4"/>
    <sheet name="EST SIT FINAN SEP Y JUN 2023" sheetId="11" state="hidden" r:id="rId5"/>
  </sheets>
  <definedNames>
    <definedName name="_xlnm.Print_Area" localSheetId="1">'EST RESUL DICIEMBRE 2025-2024'!$A$1:$G$79</definedName>
    <definedName name="_xlnm.Print_Area" localSheetId="0">'EST SIT FINAN DICIEMB 2025-2024'!$A$8:$N$67</definedName>
    <definedName name="_xlnm.Print_Area" localSheetId="2">'EST SIT FINAN JUNI - MARZO 2025'!$A$8:$N$74</definedName>
    <definedName name="_xlnm.Print_Area" localSheetId="4">'EST SIT FINAN SEP Y JUN 2023'!$A$8:$N$73</definedName>
    <definedName name="_xlnm.Print_Area" localSheetId="3">'EST SIT FINAN SEPT-JUN 25'!$A$8:$N$74</definedName>
    <definedName name="_xlnm.Print_Titles" localSheetId="1">'EST RESUL DICIEMBRE 2025-2024'!$1:$9</definedName>
    <definedName name="_xlnm.Print_Titles" localSheetId="0">'EST SIT FINAN DICIEMB 2025-2024'!$1:$7</definedName>
    <definedName name="_xlnm.Print_Titles" localSheetId="2">'EST SIT FINAN JUNI - MARZO 2025'!$1:$7</definedName>
    <definedName name="_xlnm.Print_Titles" localSheetId="4">'EST SIT FINAN SEP Y JUN 2023'!$1:$7</definedName>
    <definedName name="_xlnm.Print_Titles" localSheetId="3">'EST SIT FINAN SEPT-JUN 25'!$1:$7</definedName>
  </definedNames>
  <calcPr calcId="191029"/>
</workbook>
</file>

<file path=xl/calcChain.xml><?xml version="1.0" encoding="utf-8"?>
<calcChain xmlns="http://schemas.openxmlformats.org/spreadsheetml/2006/main">
  <c r="D25" i="6" l="1"/>
  <c r="D21" i="6"/>
  <c r="F73" i="6" l="1"/>
  <c r="L33" i="10"/>
  <c r="K33" i="10"/>
  <c r="D33" i="10"/>
  <c r="D15" i="10"/>
  <c r="E10" i="10"/>
  <c r="D10" i="10"/>
  <c r="M49" i="10"/>
  <c r="N49" i="10" s="1"/>
  <c r="M48" i="10"/>
  <c r="M37" i="10"/>
  <c r="N37" i="10" s="1"/>
  <c r="L36" i="10"/>
  <c r="K36" i="10"/>
  <c r="M34" i="10"/>
  <c r="N34" i="10" s="1"/>
  <c r="M28" i="10"/>
  <c r="N28" i="10" s="1"/>
  <c r="L27" i="10"/>
  <c r="M27" i="10" s="1"/>
  <c r="N27" i="10" s="1"/>
  <c r="M26" i="10"/>
  <c r="K25" i="10"/>
  <c r="M23" i="10"/>
  <c r="N23" i="10" s="1"/>
  <c r="L22" i="10"/>
  <c r="K22" i="10"/>
  <c r="M20" i="10"/>
  <c r="N20" i="10" s="1"/>
  <c r="L18" i="10"/>
  <c r="K18" i="10"/>
  <c r="F54" i="10"/>
  <c r="G54" i="10" s="1"/>
  <c r="F53" i="10"/>
  <c r="F52" i="10"/>
  <c r="G52" i="10" s="1"/>
  <c r="F51" i="10"/>
  <c r="G51" i="10" s="1"/>
  <c r="E50" i="10"/>
  <c r="D50" i="10"/>
  <c r="F49" i="10"/>
  <c r="G49" i="10" s="1"/>
  <c r="E48" i="10"/>
  <c r="D48" i="10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E35" i="10"/>
  <c r="F35" i="10" s="1"/>
  <c r="F34" i="10"/>
  <c r="G34" i="10" s="1"/>
  <c r="F32" i="10"/>
  <c r="G32" i="10" s="1"/>
  <c r="F31" i="10"/>
  <c r="G31" i="10" s="1"/>
  <c r="E30" i="10"/>
  <c r="D30" i="10"/>
  <c r="F27" i="10"/>
  <c r="F26" i="10"/>
  <c r="F25" i="10"/>
  <c r="G25" i="10" s="1"/>
  <c r="E24" i="10"/>
  <c r="D24" i="10"/>
  <c r="F23" i="10"/>
  <c r="G23" i="10" s="1"/>
  <c r="F22" i="10"/>
  <c r="G22" i="10" s="1"/>
  <c r="F21" i="10"/>
  <c r="G21" i="10" s="1"/>
  <c r="E20" i="10"/>
  <c r="D20" i="10"/>
  <c r="F19" i="10"/>
  <c r="G19" i="10" s="1"/>
  <c r="F18" i="10"/>
  <c r="G18" i="10" s="1"/>
  <c r="E17" i="10"/>
  <c r="E15" i="10" s="1"/>
  <c r="F16" i="10"/>
  <c r="F14" i="10"/>
  <c r="F13" i="10" s="1"/>
  <c r="E13" i="10"/>
  <c r="D13" i="10"/>
  <c r="L31" i="10" l="1"/>
  <c r="M36" i="10"/>
  <c r="N36" i="10" s="1"/>
  <c r="M33" i="10"/>
  <c r="N33" i="10" s="1"/>
  <c r="F33" i="10"/>
  <c r="E9" i="10"/>
  <c r="D9" i="10"/>
  <c r="N48" i="10"/>
  <c r="E33" i="10"/>
  <c r="E29" i="10" s="1"/>
  <c r="K31" i="10"/>
  <c r="M22" i="10"/>
  <c r="N22" i="10" s="1"/>
  <c r="F50" i="10"/>
  <c r="G50" i="10" s="1"/>
  <c r="F30" i="10"/>
  <c r="G30" i="10" s="1"/>
  <c r="L25" i="10"/>
  <c r="D29" i="10"/>
  <c r="M25" i="10"/>
  <c r="F24" i="10"/>
  <c r="G24" i="10" s="1"/>
  <c r="N26" i="10"/>
  <c r="M18" i="10"/>
  <c r="N18" i="10" s="1"/>
  <c r="G35" i="10"/>
  <c r="G53" i="10"/>
  <c r="F48" i="10"/>
  <c r="G48" i="10" s="1"/>
  <c r="F17" i="10"/>
  <c r="F20" i="10"/>
  <c r="G20" i="10" s="1"/>
  <c r="G16" i="10"/>
  <c r="F12" i="10"/>
  <c r="G12" i="10" s="1"/>
  <c r="F11" i="10"/>
  <c r="M31" i="10" l="1"/>
  <c r="N31" i="10" s="1"/>
  <c r="N25" i="10"/>
  <c r="D55" i="10"/>
  <c r="G33" i="10"/>
  <c r="G11" i="10"/>
  <c r="F10" i="10"/>
  <c r="E55" i="10"/>
  <c r="G17" i="10"/>
  <c r="F15" i="10"/>
  <c r="G15" i="10" s="1"/>
  <c r="F29" i="10"/>
  <c r="E19" i="6"/>
  <c r="F9" i="10" l="1"/>
  <c r="F55" i="10" s="1"/>
  <c r="G55" i="10" s="1"/>
  <c r="G29" i="10"/>
  <c r="K10" i="10"/>
  <c r="K9" i="10" s="1"/>
  <c r="M16" i="10"/>
  <c r="N16" i="10" s="1"/>
  <c r="F68" i="6"/>
  <c r="G68" i="6" s="1"/>
  <c r="K39" i="10" l="1"/>
  <c r="M16" i="13"/>
  <c r="N16" i="13" s="1"/>
  <c r="E48" i="13"/>
  <c r="E33" i="13"/>
  <c r="D33" i="13"/>
  <c r="P53" i="13" s="1"/>
  <c r="F47" i="13"/>
  <c r="G47" i="13" s="1"/>
  <c r="M65" i="13"/>
  <c r="M64" i="13"/>
  <c r="N64" i="13" s="1"/>
  <c r="F64" i="13"/>
  <c r="F63" i="13" s="1"/>
  <c r="L63" i="13"/>
  <c r="K63" i="13"/>
  <c r="E63" i="13"/>
  <c r="D63" i="13"/>
  <c r="M62" i="13"/>
  <c r="N62" i="13" s="1"/>
  <c r="L61" i="13"/>
  <c r="K61" i="13"/>
  <c r="M60" i="13"/>
  <c r="N60" i="13" s="1"/>
  <c r="M59" i="13"/>
  <c r="N59" i="13" s="1"/>
  <c r="F59" i="13"/>
  <c r="G59" i="13" s="1"/>
  <c r="M58" i="13"/>
  <c r="N58" i="13" s="1"/>
  <c r="F58" i="13"/>
  <c r="G58" i="13" s="1"/>
  <c r="L57" i="13"/>
  <c r="K57" i="13"/>
  <c r="E57" i="13"/>
  <c r="D57" i="13"/>
  <c r="F54" i="13"/>
  <c r="G54" i="13" s="1"/>
  <c r="F53" i="13"/>
  <c r="G53" i="13" s="1"/>
  <c r="F52" i="13"/>
  <c r="G52" i="13" s="1"/>
  <c r="L48" i="13"/>
  <c r="L44" i="13" s="1"/>
  <c r="F51" i="13"/>
  <c r="G51" i="13" s="1"/>
  <c r="R50" i="13"/>
  <c r="M50" i="13"/>
  <c r="N50" i="13" s="1"/>
  <c r="E50" i="13"/>
  <c r="D50" i="13"/>
  <c r="R49" i="13"/>
  <c r="M49" i="13"/>
  <c r="N49" i="13" s="1"/>
  <c r="F49" i="13"/>
  <c r="G49" i="13" s="1"/>
  <c r="D48" i="13"/>
  <c r="R46" i="13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M38" i="13"/>
  <c r="M37" i="13" s="1"/>
  <c r="F38" i="13"/>
  <c r="G38" i="13" s="1"/>
  <c r="P37" i="13"/>
  <c r="L37" i="13"/>
  <c r="K37" i="13"/>
  <c r="F37" i="13"/>
  <c r="G37" i="13" s="1"/>
  <c r="F36" i="13"/>
  <c r="M35" i="13"/>
  <c r="N35" i="13" s="1"/>
  <c r="F35" i="13"/>
  <c r="G35" i="13" s="1"/>
  <c r="R34" i="13"/>
  <c r="L34" i="13"/>
  <c r="K34" i="13"/>
  <c r="F34" i="13"/>
  <c r="G34" i="13" s="1"/>
  <c r="F32" i="13"/>
  <c r="F31" i="13"/>
  <c r="G31" i="13" s="1"/>
  <c r="E30" i="13"/>
  <c r="D30" i="13"/>
  <c r="M28" i="13"/>
  <c r="N28" i="13" s="1"/>
  <c r="F28" i="13"/>
  <c r="G28" i="13" s="1"/>
  <c r="S27" i="13"/>
  <c r="M27" i="13"/>
  <c r="N27" i="13" s="1"/>
  <c r="F27" i="13"/>
  <c r="M26" i="13"/>
  <c r="N26" i="13" s="1"/>
  <c r="F26" i="13"/>
  <c r="L25" i="13"/>
  <c r="K25" i="13"/>
  <c r="E25" i="13"/>
  <c r="D25" i="13"/>
  <c r="F24" i="13"/>
  <c r="G24" i="13" s="1"/>
  <c r="S23" i="13"/>
  <c r="M23" i="13"/>
  <c r="N23" i="13" s="1"/>
  <c r="F23" i="13"/>
  <c r="G23" i="13" s="1"/>
  <c r="P22" i="13"/>
  <c r="L22" i="13"/>
  <c r="K22" i="13"/>
  <c r="F22" i="13"/>
  <c r="G22" i="13" s="1"/>
  <c r="P21" i="13"/>
  <c r="E21" i="13"/>
  <c r="D21" i="13"/>
  <c r="P17" i="13" s="1"/>
  <c r="M20" i="13"/>
  <c r="N20" i="13" s="1"/>
  <c r="F20" i="13"/>
  <c r="G20" i="13" s="1"/>
  <c r="L19" i="13"/>
  <c r="K19" i="13"/>
  <c r="F19" i="13"/>
  <c r="G19" i="13" s="1"/>
  <c r="S18" i="13"/>
  <c r="F18" i="13"/>
  <c r="G18" i="13" s="1"/>
  <c r="F17" i="13"/>
  <c r="G17" i="13" s="1"/>
  <c r="E16" i="13"/>
  <c r="D16" i="13"/>
  <c r="M15" i="13"/>
  <c r="N15" i="13" s="1"/>
  <c r="F15" i="13"/>
  <c r="F14" i="13" s="1"/>
  <c r="M14" i="13"/>
  <c r="N14" i="13" s="1"/>
  <c r="E14" i="13"/>
  <c r="D14" i="13"/>
  <c r="M13" i="13"/>
  <c r="F13" i="13"/>
  <c r="G13" i="13" s="1"/>
  <c r="M12" i="13"/>
  <c r="N12" i="13" s="1"/>
  <c r="F12" i="13"/>
  <c r="G12" i="13" s="1"/>
  <c r="M11" i="13"/>
  <c r="N11" i="13" s="1"/>
  <c r="F11" i="13"/>
  <c r="G11" i="13" s="1"/>
  <c r="L10" i="13"/>
  <c r="K10" i="13"/>
  <c r="E10" i="13"/>
  <c r="D10" i="13"/>
  <c r="K9" i="13" l="1"/>
  <c r="D56" i="13"/>
  <c r="K56" i="13"/>
  <c r="K32" i="13"/>
  <c r="G14" i="13"/>
  <c r="G63" i="13"/>
  <c r="F25" i="13"/>
  <c r="G25" i="13" s="1"/>
  <c r="M57" i="13"/>
  <c r="N57" i="13" s="1"/>
  <c r="F30" i="13"/>
  <c r="G30" i="13" s="1"/>
  <c r="P40" i="13"/>
  <c r="M63" i="13"/>
  <c r="N63" i="13" s="1"/>
  <c r="F33" i="13"/>
  <c r="G33" i="13" s="1"/>
  <c r="G15" i="13"/>
  <c r="F48" i="13"/>
  <c r="G48" i="13" s="1"/>
  <c r="D9" i="13"/>
  <c r="P12" i="13" s="1"/>
  <c r="M19" i="13"/>
  <c r="N19" i="13" s="1"/>
  <c r="L56" i="13"/>
  <c r="M61" i="13"/>
  <c r="N61" i="13" s="1"/>
  <c r="N37" i="13"/>
  <c r="N38" i="13"/>
  <c r="L32" i="13"/>
  <c r="M22" i="13"/>
  <c r="N22" i="13" s="1"/>
  <c r="L9" i="13"/>
  <c r="M10" i="13"/>
  <c r="N10" i="13" s="1"/>
  <c r="E56" i="13"/>
  <c r="F57" i="13"/>
  <c r="F56" i="13" s="1"/>
  <c r="D29" i="13"/>
  <c r="P52" i="13"/>
  <c r="P48" i="13"/>
  <c r="P42" i="13"/>
  <c r="E29" i="13"/>
  <c r="F16" i="13"/>
  <c r="G16" i="13" s="1"/>
  <c r="E9" i="13"/>
  <c r="N13" i="13"/>
  <c r="R17" i="13"/>
  <c r="M34" i="13"/>
  <c r="G36" i="13"/>
  <c r="P46" i="13"/>
  <c r="P49" i="13"/>
  <c r="P50" i="13"/>
  <c r="N65" i="13"/>
  <c r="F21" i="13"/>
  <c r="G21" i="13" s="1"/>
  <c r="R18" i="13"/>
  <c r="R16" i="13"/>
  <c r="R19" i="13"/>
  <c r="F50" i="13"/>
  <c r="G50" i="13" s="1"/>
  <c r="G64" i="13"/>
  <c r="M25" i="13"/>
  <c r="N25" i="13" s="1"/>
  <c r="S12" i="13"/>
  <c r="F10" i="13"/>
  <c r="G26" i="13"/>
  <c r="R13" i="13"/>
  <c r="R15" i="13"/>
  <c r="G32" i="13"/>
  <c r="K40" i="13" l="1"/>
  <c r="D80" i="13"/>
  <c r="D55" i="13"/>
  <c r="Q55" i="13" s="1"/>
  <c r="P24" i="13"/>
  <c r="P13" i="13"/>
  <c r="P30" i="13"/>
  <c r="D79" i="13"/>
  <c r="D84" i="13"/>
  <c r="D85" i="13" s="1"/>
  <c r="P16" i="13"/>
  <c r="P9" i="13"/>
  <c r="E80" i="13"/>
  <c r="L40" i="13"/>
  <c r="L55" i="13" s="1"/>
  <c r="M56" i="13"/>
  <c r="G57" i="13"/>
  <c r="E79" i="13"/>
  <c r="E55" i="13"/>
  <c r="M9" i="13"/>
  <c r="M32" i="13"/>
  <c r="N32" i="13" s="1"/>
  <c r="N34" i="13"/>
  <c r="G10" i="13"/>
  <c r="F9" i="13"/>
  <c r="Q9" i="13"/>
  <c r="F29" i="13"/>
  <c r="G29" i="13" s="1"/>
  <c r="D82" i="13" l="1"/>
  <c r="P39" i="13"/>
  <c r="I80" i="13"/>
  <c r="K80" i="13" s="1"/>
  <c r="Q42" i="13"/>
  <c r="I79" i="13"/>
  <c r="K79" i="13" s="1"/>
  <c r="Z54" i="13"/>
  <c r="E82" i="13"/>
  <c r="M40" i="13"/>
  <c r="N9" i="13"/>
  <c r="G9" i="13"/>
  <c r="F55" i="13"/>
  <c r="G55" i="13" s="1"/>
  <c r="I82" i="13" l="1"/>
  <c r="K82" i="13" s="1"/>
  <c r="N40" i="13"/>
  <c r="L62" i="12" l="1"/>
  <c r="K62" i="12"/>
  <c r="F52" i="12"/>
  <c r="F15" i="12" l="1"/>
  <c r="F14" i="12" s="1"/>
  <c r="E14" i="12"/>
  <c r="D14" i="12"/>
  <c r="L10" i="10" l="1"/>
  <c r="L9" i="10" s="1"/>
  <c r="L39" i="10" l="1"/>
  <c r="L61" i="10"/>
  <c r="K61" i="10"/>
  <c r="E16" i="12" l="1"/>
  <c r="D16" i="12"/>
  <c r="F19" i="12"/>
  <c r="F20" i="12"/>
  <c r="F18" i="12"/>
  <c r="G18" i="12" s="1"/>
  <c r="F17" i="12"/>
  <c r="G17" i="12" s="1"/>
  <c r="M66" i="12" l="1"/>
  <c r="N66" i="12" s="1"/>
  <c r="M65" i="12"/>
  <c r="N65" i="12" s="1"/>
  <c r="F65" i="12"/>
  <c r="G65" i="12" s="1"/>
  <c r="L64" i="12"/>
  <c r="K64" i="12"/>
  <c r="E64" i="12"/>
  <c r="D64" i="12"/>
  <c r="M63" i="12"/>
  <c r="M61" i="12"/>
  <c r="N61" i="12" s="1"/>
  <c r="M60" i="12"/>
  <c r="N60" i="12" s="1"/>
  <c r="F60" i="12"/>
  <c r="G60" i="12" s="1"/>
  <c r="M59" i="12"/>
  <c r="F59" i="12"/>
  <c r="L58" i="12"/>
  <c r="K58" i="12"/>
  <c r="E58" i="12"/>
  <c r="D58" i="12"/>
  <c r="F55" i="12"/>
  <c r="G55" i="12" s="1"/>
  <c r="F54" i="12"/>
  <c r="G54" i="12" s="1"/>
  <c r="F53" i="12"/>
  <c r="G53" i="12" s="1"/>
  <c r="R49" i="12"/>
  <c r="F51" i="12"/>
  <c r="R48" i="12"/>
  <c r="M50" i="12"/>
  <c r="N50" i="12" s="1"/>
  <c r="E50" i="12"/>
  <c r="D50" i="12"/>
  <c r="M49" i="12"/>
  <c r="N49" i="12" s="1"/>
  <c r="F49" i="12"/>
  <c r="G49" i="12" s="1"/>
  <c r="R46" i="12"/>
  <c r="L48" i="12"/>
  <c r="L45" i="12" s="1"/>
  <c r="E48" i="12"/>
  <c r="D48" i="12"/>
  <c r="F47" i="12"/>
  <c r="G47" i="12" s="1"/>
  <c r="F46" i="12"/>
  <c r="G46" i="12" s="1"/>
  <c r="F45" i="12"/>
  <c r="G45" i="12" s="1"/>
  <c r="F44" i="12"/>
  <c r="G44" i="12" s="1"/>
  <c r="F43" i="12"/>
  <c r="G43" i="12" s="1"/>
  <c r="F42" i="12"/>
  <c r="G42" i="12" s="1"/>
  <c r="F41" i="12"/>
  <c r="G41" i="12" s="1"/>
  <c r="F40" i="12"/>
  <c r="G40" i="12" s="1"/>
  <c r="P37" i="12"/>
  <c r="M39" i="12"/>
  <c r="N39" i="12" s="1"/>
  <c r="F39" i="12"/>
  <c r="G39" i="12" s="1"/>
  <c r="L38" i="12"/>
  <c r="K38" i="12"/>
  <c r="F38" i="12"/>
  <c r="G38" i="12" s="1"/>
  <c r="F37" i="12"/>
  <c r="G37" i="12" s="1"/>
  <c r="R34" i="12"/>
  <c r="M36" i="12"/>
  <c r="N36" i="12" s="1"/>
  <c r="F36" i="12"/>
  <c r="G36" i="12" s="1"/>
  <c r="L35" i="12"/>
  <c r="K35" i="12"/>
  <c r="F35" i="12"/>
  <c r="G35" i="12" s="1"/>
  <c r="F34" i="12"/>
  <c r="G34" i="12" s="1"/>
  <c r="E33" i="12"/>
  <c r="D33" i="12"/>
  <c r="P53" i="12" s="1"/>
  <c r="F32" i="12"/>
  <c r="G32" i="12" s="1"/>
  <c r="F31" i="12"/>
  <c r="G31" i="12" s="1"/>
  <c r="E30" i="12"/>
  <c r="D30" i="12"/>
  <c r="M28" i="12"/>
  <c r="N28" i="12" s="1"/>
  <c r="M27" i="12"/>
  <c r="M26" i="12"/>
  <c r="N26" i="12" s="1"/>
  <c r="F28" i="12"/>
  <c r="L25" i="12"/>
  <c r="K25" i="12"/>
  <c r="S28" i="12" s="1"/>
  <c r="E27" i="12"/>
  <c r="D27" i="12"/>
  <c r="F26" i="12"/>
  <c r="G26" i="12" s="1"/>
  <c r="P23" i="12"/>
  <c r="F25" i="12"/>
  <c r="G25" i="12" s="1"/>
  <c r="P22" i="12"/>
  <c r="M22" i="12"/>
  <c r="N22" i="12" s="1"/>
  <c r="F24" i="12"/>
  <c r="G24" i="12" s="1"/>
  <c r="P21" i="12"/>
  <c r="L21" i="12"/>
  <c r="K21" i="12"/>
  <c r="S24" i="12" s="1"/>
  <c r="E23" i="12"/>
  <c r="D23" i="12"/>
  <c r="M19" i="12"/>
  <c r="N19" i="12" s="1"/>
  <c r="F21" i="12"/>
  <c r="G21" i="12" s="1"/>
  <c r="S18" i="12"/>
  <c r="L18" i="12"/>
  <c r="K18" i="12"/>
  <c r="S21" i="12" s="1"/>
  <c r="G20" i="12"/>
  <c r="P17" i="12"/>
  <c r="G19" i="12"/>
  <c r="M16" i="12"/>
  <c r="N16" i="12" s="1"/>
  <c r="M15" i="12"/>
  <c r="N15" i="12" s="1"/>
  <c r="M14" i="12"/>
  <c r="N14" i="12" s="1"/>
  <c r="M13" i="12"/>
  <c r="N13" i="12" s="1"/>
  <c r="F13" i="12"/>
  <c r="G13" i="12" s="1"/>
  <c r="M12" i="12"/>
  <c r="N12" i="12" s="1"/>
  <c r="F12" i="12"/>
  <c r="G12" i="12" s="1"/>
  <c r="M11" i="12"/>
  <c r="N11" i="12" s="1"/>
  <c r="F11" i="12"/>
  <c r="G11" i="12" s="1"/>
  <c r="L10" i="12"/>
  <c r="K10" i="12"/>
  <c r="E10" i="12"/>
  <c r="D10" i="12"/>
  <c r="F21" i="6"/>
  <c r="F20" i="6" s="1"/>
  <c r="D9" i="12" l="1"/>
  <c r="D85" i="12" s="1"/>
  <c r="N63" i="12"/>
  <c r="M62" i="12"/>
  <c r="N62" i="12" s="1"/>
  <c r="E9" i="12"/>
  <c r="D29" i="12"/>
  <c r="L33" i="12"/>
  <c r="F48" i="12"/>
  <c r="G48" i="12" s="1"/>
  <c r="K33" i="12"/>
  <c r="F10" i="12"/>
  <c r="P40" i="12"/>
  <c r="P51" i="12"/>
  <c r="K9" i="12"/>
  <c r="F50" i="12"/>
  <c r="G50" i="12" s="1"/>
  <c r="G51" i="12"/>
  <c r="F64" i="12"/>
  <c r="G64" i="12" s="1"/>
  <c r="P49" i="12"/>
  <c r="P50" i="12"/>
  <c r="P42" i="12"/>
  <c r="P46" i="12"/>
  <c r="P47" i="12"/>
  <c r="P48" i="12"/>
  <c r="F16" i="12"/>
  <c r="G16" i="12" s="1"/>
  <c r="K57" i="12"/>
  <c r="D57" i="12"/>
  <c r="L57" i="12"/>
  <c r="M38" i="12"/>
  <c r="N38" i="12" s="1"/>
  <c r="M21" i="12"/>
  <c r="N21" i="12" s="1"/>
  <c r="M18" i="12"/>
  <c r="N18" i="12" s="1"/>
  <c r="E29" i="12"/>
  <c r="E57" i="12"/>
  <c r="G28" i="12"/>
  <c r="F27" i="12"/>
  <c r="G27" i="12" s="1"/>
  <c r="R13" i="12"/>
  <c r="R19" i="12"/>
  <c r="M64" i="12"/>
  <c r="N64" i="12" s="1"/>
  <c r="L9" i="12"/>
  <c r="R17" i="12"/>
  <c r="F23" i="12"/>
  <c r="F33" i="12"/>
  <c r="G33" i="12" s="1"/>
  <c r="M35" i="12"/>
  <c r="M10" i="12"/>
  <c r="S12" i="12"/>
  <c r="R15" i="12"/>
  <c r="R16" i="12"/>
  <c r="R18" i="12"/>
  <c r="N27" i="12"/>
  <c r="M25" i="12"/>
  <c r="N25" i="12" s="1"/>
  <c r="F30" i="12"/>
  <c r="F58" i="12"/>
  <c r="G59" i="12"/>
  <c r="M58" i="12"/>
  <c r="L41" i="12" l="1"/>
  <c r="K41" i="12"/>
  <c r="F9" i="12"/>
  <c r="G10" i="12"/>
  <c r="D86" i="12"/>
  <c r="P9" i="12"/>
  <c r="P12" i="12"/>
  <c r="D56" i="12"/>
  <c r="P39" i="12" s="1"/>
  <c r="P16" i="12"/>
  <c r="P13" i="12"/>
  <c r="P25" i="12"/>
  <c r="P30" i="12"/>
  <c r="D81" i="12"/>
  <c r="D80" i="12"/>
  <c r="M57" i="12"/>
  <c r="N58" i="12"/>
  <c r="G30" i="12"/>
  <c r="F29" i="12"/>
  <c r="G29" i="12" s="1"/>
  <c r="E81" i="12"/>
  <c r="E80" i="12"/>
  <c r="E56" i="12"/>
  <c r="E83" i="12" s="1"/>
  <c r="G23" i="12"/>
  <c r="G58" i="12"/>
  <c r="F57" i="12"/>
  <c r="N35" i="12"/>
  <c r="M33" i="12"/>
  <c r="N33" i="12" s="1"/>
  <c r="N10" i="12"/>
  <c r="M9" i="12"/>
  <c r="L56" i="12"/>
  <c r="Q42" i="12" l="1"/>
  <c r="Q55" i="12"/>
  <c r="I81" i="12"/>
  <c r="K81" i="12" s="1"/>
  <c r="Q9" i="12"/>
  <c r="D83" i="12"/>
  <c r="I83" i="12" s="1"/>
  <c r="K83" i="12" s="1"/>
  <c r="I80" i="12"/>
  <c r="K80" i="12" s="1"/>
  <c r="Z54" i="12"/>
  <c r="M41" i="12"/>
  <c r="N9" i="12"/>
  <c r="F56" i="12"/>
  <c r="G56" i="12" s="1"/>
  <c r="G9" i="12"/>
  <c r="N41" i="12" l="1"/>
  <c r="E18" i="6" l="1"/>
  <c r="G21" i="6"/>
  <c r="F75" i="6" l="1"/>
  <c r="M63" i="10" l="1"/>
  <c r="N63" i="10" s="1"/>
  <c r="D18" i="6"/>
  <c r="E20" i="6"/>
  <c r="D20" i="6"/>
  <c r="F48" i="6" l="1"/>
  <c r="G48" i="6" s="1"/>
  <c r="D14" i="6"/>
  <c r="E14" i="6"/>
  <c r="F15" i="6"/>
  <c r="G15" i="6" s="1"/>
  <c r="M66" i="10" l="1"/>
  <c r="N66" i="10" s="1"/>
  <c r="M57" i="11" l="1"/>
  <c r="N57" i="11" s="1"/>
  <c r="M63" i="11"/>
  <c r="M62" i="11"/>
  <c r="F62" i="11"/>
  <c r="F61" i="11" s="1"/>
  <c r="L61" i="11"/>
  <c r="K61" i="11"/>
  <c r="E61" i="11"/>
  <c r="D61" i="11"/>
  <c r="M60" i="11"/>
  <c r="M59" i="11" s="1"/>
  <c r="L59" i="11"/>
  <c r="K59" i="11"/>
  <c r="F57" i="11"/>
  <c r="G57" i="11" s="1"/>
  <c r="M56" i="11"/>
  <c r="N56" i="11" s="1"/>
  <c r="F56" i="11"/>
  <c r="G56" i="11" s="1"/>
  <c r="L55" i="11"/>
  <c r="K55" i="11"/>
  <c r="E55" i="11"/>
  <c r="D55" i="11"/>
  <c r="F52" i="11"/>
  <c r="G52" i="11" s="1"/>
  <c r="F51" i="11"/>
  <c r="G51" i="11" s="1"/>
  <c r="F50" i="11"/>
  <c r="R49" i="11"/>
  <c r="L46" i="11"/>
  <c r="L44" i="11" s="1"/>
  <c r="R48" i="11"/>
  <c r="M48" i="11"/>
  <c r="N48" i="11" s="1"/>
  <c r="E48" i="11"/>
  <c r="D48" i="11"/>
  <c r="M47" i="11"/>
  <c r="F47" i="11"/>
  <c r="G47" i="11" s="1"/>
  <c r="R46" i="11"/>
  <c r="E46" i="11"/>
  <c r="D46" i="1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P38" i="11"/>
  <c r="F38" i="11"/>
  <c r="G38" i="11" s="1"/>
  <c r="F37" i="11"/>
  <c r="G37" i="11" s="1"/>
  <c r="F36" i="11"/>
  <c r="G36" i="11" s="1"/>
  <c r="R35" i="11"/>
  <c r="M35" i="11"/>
  <c r="N35" i="11" s="1"/>
  <c r="F35" i="11"/>
  <c r="G35" i="11" s="1"/>
  <c r="L34" i="11"/>
  <c r="K34" i="11"/>
  <c r="K32" i="11" s="1"/>
  <c r="F34" i="11"/>
  <c r="G34" i="11" s="1"/>
  <c r="F33" i="11"/>
  <c r="E32" i="11"/>
  <c r="D32" i="11"/>
  <c r="P41" i="11" s="1"/>
  <c r="F31" i="11"/>
  <c r="G31" i="11" s="1"/>
  <c r="F30" i="11"/>
  <c r="E29" i="11"/>
  <c r="D29" i="11"/>
  <c r="M28" i="11"/>
  <c r="N28" i="11" s="1"/>
  <c r="M27" i="11"/>
  <c r="N27" i="11" s="1"/>
  <c r="F27" i="11"/>
  <c r="G27" i="11" s="1"/>
  <c r="M26" i="11"/>
  <c r="N26" i="11" s="1"/>
  <c r="E26" i="11"/>
  <c r="D26" i="11"/>
  <c r="L25" i="11"/>
  <c r="K25" i="11"/>
  <c r="S28" i="11" s="1"/>
  <c r="F25" i="11"/>
  <c r="G25" i="11" s="1"/>
  <c r="F24" i="11"/>
  <c r="G24" i="11" s="1"/>
  <c r="P23" i="11"/>
  <c r="F23" i="11"/>
  <c r="G23" i="11" s="1"/>
  <c r="P22" i="11"/>
  <c r="M22" i="11"/>
  <c r="N22" i="11" s="1"/>
  <c r="E22" i="11"/>
  <c r="D22" i="11"/>
  <c r="P17" i="11" s="1"/>
  <c r="P21" i="11"/>
  <c r="L21" i="11"/>
  <c r="K21" i="11"/>
  <c r="S24" i="11" s="1"/>
  <c r="F21" i="11"/>
  <c r="G21" i="11" s="1"/>
  <c r="F20" i="11"/>
  <c r="G20" i="11" s="1"/>
  <c r="M19" i="11"/>
  <c r="M18" i="11" s="1"/>
  <c r="F19" i="11"/>
  <c r="G19" i="11" s="1"/>
  <c r="S18" i="11"/>
  <c r="L18" i="11"/>
  <c r="K18" i="11"/>
  <c r="S21" i="11" s="1"/>
  <c r="F18" i="11"/>
  <c r="M16" i="11"/>
  <c r="N16" i="11" s="1"/>
  <c r="E16" i="11"/>
  <c r="D16" i="11"/>
  <c r="M15" i="11"/>
  <c r="N15" i="11" s="1"/>
  <c r="F15" i="11"/>
  <c r="F14" i="11" s="1"/>
  <c r="M14" i="11"/>
  <c r="N14" i="11" s="1"/>
  <c r="E14" i="11"/>
  <c r="D14" i="11"/>
  <c r="M13" i="11"/>
  <c r="N13" i="11" s="1"/>
  <c r="F13" i="11"/>
  <c r="G13" i="11" s="1"/>
  <c r="M12" i="11"/>
  <c r="N12" i="11" s="1"/>
  <c r="F12" i="11"/>
  <c r="G12" i="11" s="1"/>
  <c r="M11" i="11"/>
  <c r="N11" i="11" s="1"/>
  <c r="F11" i="11"/>
  <c r="G11" i="11" s="1"/>
  <c r="L10" i="11"/>
  <c r="K10" i="11"/>
  <c r="R13" i="11" s="1"/>
  <c r="E10" i="11"/>
  <c r="D10" i="11"/>
  <c r="N18" i="11" l="1"/>
  <c r="F29" i="11"/>
  <c r="G29" i="11" s="1"/>
  <c r="M34" i="11"/>
  <c r="N34" i="11" s="1"/>
  <c r="G61" i="11"/>
  <c r="G14" i="11"/>
  <c r="D54" i="11"/>
  <c r="K9" i="11"/>
  <c r="K40" i="11" s="1"/>
  <c r="D9" i="11"/>
  <c r="P9" i="11" s="1"/>
  <c r="G15" i="11"/>
  <c r="K54" i="11"/>
  <c r="F46" i="11"/>
  <c r="G46" i="11" s="1"/>
  <c r="D28" i="11"/>
  <c r="M61" i="11"/>
  <c r="N61" i="11" s="1"/>
  <c r="M55" i="11"/>
  <c r="N55" i="11" s="1"/>
  <c r="L54" i="11"/>
  <c r="L32" i="11"/>
  <c r="M25" i="11"/>
  <c r="N25" i="11" s="1"/>
  <c r="M21" i="11"/>
  <c r="N21" i="11" s="1"/>
  <c r="L9" i="11"/>
  <c r="N19" i="11"/>
  <c r="G62" i="11"/>
  <c r="E54" i="11"/>
  <c r="E28" i="11"/>
  <c r="F32" i="11"/>
  <c r="G32" i="11" s="1"/>
  <c r="F16" i="11"/>
  <c r="G16" i="11" s="1"/>
  <c r="E9" i="11"/>
  <c r="F10" i="11"/>
  <c r="G10" i="11" s="1"/>
  <c r="M10" i="11"/>
  <c r="G18" i="11"/>
  <c r="P46" i="11"/>
  <c r="P52" i="11"/>
  <c r="R15" i="11"/>
  <c r="R16" i="11"/>
  <c r="F48" i="11"/>
  <c r="G48" i="11" s="1"/>
  <c r="P50" i="11"/>
  <c r="F55" i="11"/>
  <c r="N62" i="11"/>
  <c r="F22" i="11"/>
  <c r="G22" i="11" s="1"/>
  <c r="G30" i="11"/>
  <c r="S12" i="11"/>
  <c r="R19" i="11"/>
  <c r="R18" i="11"/>
  <c r="G33" i="11"/>
  <c r="N47" i="11"/>
  <c r="P51" i="11"/>
  <c r="F26" i="11"/>
  <c r="G26" i="11" s="1"/>
  <c r="R17" i="11"/>
  <c r="P43" i="11"/>
  <c r="P47" i="11"/>
  <c r="P48" i="11"/>
  <c r="P49" i="11"/>
  <c r="P25" i="11" l="1"/>
  <c r="P16" i="11"/>
  <c r="P31" i="11"/>
  <c r="D78" i="11"/>
  <c r="D82" i="11"/>
  <c r="D83" i="11" s="1"/>
  <c r="D77" i="11"/>
  <c r="P13" i="11"/>
  <c r="P12" i="11"/>
  <c r="D53" i="11"/>
  <c r="Q9" i="11" s="1"/>
  <c r="M32" i="11"/>
  <c r="N32" i="11" s="1"/>
  <c r="M54" i="11"/>
  <c r="L40" i="11"/>
  <c r="L53" i="11" s="1"/>
  <c r="E77" i="11"/>
  <c r="F28" i="11"/>
  <c r="G28" i="11" s="1"/>
  <c r="E53" i="11"/>
  <c r="E78" i="11"/>
  <c r="F9" i="11"/>
  <c r="G55" i="11"/>
  <c r="F54" i="11"/>
  <c r="M9" i="11"/>
  <c r="N10" i="11"/>
  <c r="D80" i="11" l="1"/>
  <c r="I77" i="11"/>
  <c r="K77" i="11" s="1"/>
  <c r="I78" i="11"/>
  <c r="K78" i="11" s="1"/>
  <c r="E80" i="11"/>
  <c r="Q54" i="11"/>
  <c r="Q43" i="11"/>
  <c r="P40" i="11"/>
  <c r="M40" i="11"/>
  <c r="N9" i="11"/>
  <c r="F53" i="11"/>
  <c r="G53" i="11" s="1"/>
  <c r="G9" i="11"/>
  <c r="I80" i="11" l="1"/>
  <c r="K80" i="11" s="1"/>
  <c r="N40" i="11"/>
  <c r="E62" i="6" l="1"/>
  <c r="D62" i="6"/>
  <c r="M62" i="10" l="1"/>
  <c r="M61" i="10" s="1"/>
  <c r="N62" i="10" l="1"/>
  <c r="N61" i="10"/>
  <c r="F71" i="6" l="1"/>
  <c r="G71" i="6" s="1"/>
  <c r="D57" i="10" l="1"/>
  <c r="E57" i="10"/>
  <c r="F58" i="10"/>
  <c r="G58" i="10" s="1"/>
  <c r="F59" i="10"/>
  <c r="G59" i="10" s="1"/>
  <c r="D64" i="10"/>
  <c r="E64" i="10"/>
  <c r="F65" i="10"/>
  <c r="G65" i="10" s="1"/>
  <c r="D24" i="6"/>
  <c r="F57" i="10" l="1"/>
  <c r="G57" i="10" s="1"/>
  <c r="E56" i="10"/>
  <c r="D56" i="10"/>
  <c r="F64" i="10"/>
  <c r="G64" i="10" s="1"/>
  <c r="F56" i="10" l="1"/>
  <c r="M60" i="10" l="1"/>
  <c r="N60" i="10" s="1"/>
  <c r="L57" i="10"/>
  <c r="K57" i="10"/>
  <c r="D52" i="6" l="1"/>
  <c r="E52" i="6"/>
  <c r="F53" i="6"/>
  <c r="G53" i="6" s="1"/>
  <c r="D42" i="6" l="1"/>
  <c r="D40" i="6" s="1"/>
  <c r="D70" i="6"/>
  <c r="D69" i="6" s="1"/>
  <c r="M69" i="6" s="1"/>
  <c r="K16" i="6"/>
  <c r="L16" i="6" s="1"/>
  <c r="P16" i="6" s="1"/>
  <c r="K22" i="6"/>
  <c r="L22" i="6" s="1"/>
  <c r="P22" i="6" s="1"/>
  <c r="D28" i="6"/>
  <c r="D10" i="6" s="1"/>
  <c r="D61" i="6"/>
  <c r="E24" i="6"/>
  <c r="E28" i="6"/>
  <c r="E34" i="6"/>
  <c r="E37" i="6"/>
  <c r="E42" i="6"/>
  <c r="E40" i="6" s="1"/>
  <c r="E61" i="6"/>
  <c r="E70" i="6"/>
  <c r="E69" i="6" s="1"/>
  <c r="D34" i="6"/>
  <c r="K32" i="6" s="1"/>
  <c r="L32" i="6" s="1"/>
  <c r="P32" i="6" s="1"/>
  <c r="D37" i="6"/>
  <c r="F74" i="6"/>
  <c r="G74" i="6" s="1"/>
  <c r="F38" i="6"/>
  <c r="F37" i="6" s="1"/>
  <c r="M65" i="10"/>
  <c r="L64" i="10"/>
  <c r="L56" i="10" s="1"/>
  <c r="K64" i="10"/>
  <c r="K56" i="10" s="1"/>
  <c r="M59" i="10"/>
  <c r="N59" i="10" s="1"/>
  <c r="M58" i="10"/>
  <c r="F72" i="6"/>
  <c r="G72" i="6" s="1"/>
  <c r="F67" i="6"/>
  <c r="G67" i="6" s="1"/>
  <c r="F30" i="6"/>
  <c r="G30" i="6" s="1"/>
  <c r="F57" i="6"/>
  <c r="G57" i="6" s="1"/>
  <c r="F54" i="6"/>
  <c r="G54" i="6" s="1"/>
  <c r="F29" i="6"/>
  <c r="G29" i="6" s="1"/>
  <c r="F56" i="6"/>
  <c r="G56" i="6" s="1"/>
  <c r="F55" i="6"/>
  <c r="G55" i="6" s="1"/>
  <c r="F50" i="6"/>
  <c r="G50" i="6" s="1"/>
  <c r="F49" i="6"/>
  <c r="G49" i="6" s="1"/>
  <c r="M15" i="10"/>
  <c r="N15" i="10" s="1"/>
  <c r="R19" i="10"/>
  <c r="P43" i="10"/>
  <c r="M14" i="10"/>
  <c r="N14" i="10" s="1"/>
  <c r="P22" i="10"/>
  <c r="M13" i="10"/>
  <c r="N13" i="10" s="1"/>
  <c r="M12" i="10"/>
  <c r="N12" i="10" s="1"/>
  <c r="M11" i="10"/>
  <c r="P23" i="10"/>
  <c r="P17" i="10"/>
  <c r="F76" i="6"/>
  <c r="G76" i="6" s="1"/>
  <c r="F66" i="6"/>
  <c r="G66" i="6" s="1"/>
  <c r="F64" i="6"/>
  <c r="F47" i="6"/>
  <c r="G47" i="6" s="1"/>
  <c r="F46" i="6"/>
  <c r="G46" i="6" s="1"/>
  <c r="F45" i="6"/>
  <c r="G45" i="6" s="1"/>
  <c r="F44" i="6"/>
  <c r="G44" i="6" s="1"/>
  <c r="F43" i="6"/>
  <c r="G43" i="6" s="1"/>
  <c r="F35" i="6"/>
  <c r="G35" i="6" s="1"/>
  <c r="F26" i="6"/>
  <c r="G26" i="6" s="1"/>
  <c r="F25" i="6"/>
  <c r="G25" i="6" s="1"/>
  <c r="F19" i="6"/>
  <c r="F16" i="6"/>
  <c r="F14" i="6" s="1"/>
  <c r="G14" i="6" s="1"/>
  <c r="K71" i="6"/>
  <c r="L71" i="6" s="1"/>
  <c r="P71" i="6" s="1"/>
  <c r="K66" i="6"/>
  <c r="L66" i="6" s="1"/>
  <c r="P66" i="6" s="1"/>
  <c r="K65" i="6"/>
  <c r="L65" i="6" s="1"/>
  <c r="P65" i="6" s="1"/>
  <c r="P63" i="6"/>
  <c r="K63" i="6"/>
  <c r="K57" i="6"/>
  <c r="L57" i="6" s="1"/>
  <c r="P57" i="6" s="1"/>
  <c r="P55" i="6"/>
  <c r="K55" i="6"/>
  <c r="K52" i="6"/>
  <c r="L52" i="6" s="1"/>
  <c r="P52" i="6" s="1"/>
  <c r="K51" i="6"/>
  <c r="L51" i="6" s="1"/>
  <c r="P51" i="6" s="1"/>
  <c r="P50" i="6"/>
  <c r="K50" i="6"/>
  <c r="K49" i="6"/>
  <c r="L49" i="6" s="1"/>
  <c r="P49" i="6" s="1"/>
  <c r="K47" i="6"/>
  <c r="L47" i="6" s="1"/>
  <c r="P47" i="6" s="1"/>
  <c r="K45" i="6"/>
  <c r="L45" i="6" s="1"/>
  <c r="P45" i="6" s="1"/>
  <c r="K43" i="6"/>
  <c r="L43" i="6" s="1"/>
  <c r="P43" i="6" s="1"/>
  <c r="K42" i="6"/>
  <c r="L42" i="6" s="1"/>
  <c r="P42" i="6" s="1"/>
  <c r="M47" i="6"/>
  <c r="P40" i="6"/>
  <c r="K40" i="6"/>
  <c r="P38" i="6"/>
  <c r="K38" i="6"/>
  <c r="K37" i="6"/>
  <c r="L37" i="6" s="1"/>
  <c r="P37" i="6" s="1"/>
  <c r="K36" i="6"/>
  <c r="L36" i="6" s="1"/>
  <c r="P36" i="6" s="1"/>
  <c r="K34" i="6"/>
  <c r="L34" i="6" s="1"/>
  <c r="P34" i="6" s="1"/>
  <c r="K33" i="6"/>
  <c r="L33" i="6" s="1"/>
  <c r="P33" i="6" s="1"/>
  <c r="P30" i="6"/>
  <c r="K30" i="6"/>
  <c r="P28" i="6"/>
  <c r="K28" i="6"/>
  <c r="K25" i="6"/>
  <c r="L25" i="6" s="1"/>
  <c r="P25" i="6" s="1"/>
  <c r="K24" i="6"/>
  <c r="L24" i="6" s="1"/>
  <c r="P24" i="6" s="1"/>
  <c r="P23" i="6"/>
  <c r="K23" i="6"/>
  <c r="K19" i="6"/>
  <c r="L19" i="6" s="1"/>
  <c r="P19" i="6" s="1"/>
  <c r="K18" i="6"/>
  <c r="L18" i="6" s="1"/>
  <c r="P18" i="6" s="1"/>
  <c r="P17" i="6"/>
  <c r="K17" i="6"/>
  <c r="K14" i="6"/>
  <c r="L14" i="6" s="1"/>
  <c r="P14" i="6" s="1"/>
  <c r="K13" i="6"/>
  <c r="L13" i="6" s="1"/>
  <c r="P13" i="6" s="1"/>
  <c r="P11" i="6"/>
  <c r="K11" i="6"/>
  <c r="K64" i="6"/>
  <c r="L64" i="6" s="1"/>
  <c r="P64" i="6" s="1"/>
  <c r="M64" i="6"/>
  <c r="M65" i="6"/>
  <c r="M66" i="6"/>
  <c r="M71" i="6"/>
  <c r="K39" i="6"/>
  <c r="L39" i="6" s="1"/>
  <c r="P39" i="6" s="1"/>
  <c r="K41" i="6"/>
  <c r="L41" i="6" s="1"/>
  <c r="P41" i="6" s="1"/>
  <c r="M41" i="6"/>
  <c r="M42" i="6"/>
  <c r="M43" i="6"/>
  <c r="M45" i="6"/>
  <c r="M57" i="6"/>
  <c r="K12" i="6"/>
  <c r="L12" i="6" s="1"/>
  <c r="P12" i="6" s="1"/>
  <c r="K74" i="6"/>
  <c r="L74" i="6" s="1"/>
  <c r="P74" i="6" s="1"/>
  <c r="M64" i="10" l="1"/>
  <c r="N64" i="10" s="1"/>
  <c r="N65" i="10"/>
  <c r="G19" i="6"/>
  <c r="F18" i="6"/>
  <c r="N11" i="10"/>
  <c r="M10" i="10"/>
  <c r="M9" i="10" s="1"/>
  <c r="M39" i="10" s="1"/>
  <c r="N39" i="10" s="1"/>
  <c r="E10" i="6"/>
  <c r="G64" i="6"/>
  <c r="F62" i="6"/>
  <c r="G62" i="6" s="1"/>
  <c r="F34" i="6"/>
  <c r="G34" i="6" s="1"/>
  <c r="M70" i="6"/>
  <c r="K70" i="6"/>
  <c r="L70" i="6" s="1"/>
  <c r="P70" i="6" s="1"/>
  <c r="E32" i="6"/>
  <c r="F24" i="6"/>
  <c r="M57" i="10"/>
  <c r="N57" i="10" s="1"/>
  <c r="D32" i="6"/>
  <c r="M37" i="6" s="1"/>
  <c r="K35" i="6"/>
  <c r="L35" i="6" s="1"/>
  <c r="P35" i="6" s="1"/>
  <c r="K69" i="6"/>
  <c r="L69" i="6" s="1"/>
  <c r="P69" i="6" s="1"/>
  <c r="K46" i="6"/>
  <c r="L46" i="6" s="1"/>
  <c r="P46" i="6" s="1"/>
  <c r="M46" i="6"/>
  <c r="K44" i="6"/>
  <c r="L44" i="6" s="1"/>
  <c r="P44" i="6" s="1"/>
  <c r="M44" i="6"/>
  <c r="K62" i="6"/>
  <c r="L62" i="6" s="1"/>
  <c r="P62" i="6" s="1"/>
  <c r="M61" i="6"/>
  <c r="K61" i="6"/>
  <c r="L61" i="6" s="1"/>
  <c r="P61" i="6" s="1"/>
  <c r="M62" i="6"/>
  <c r="F28" i="6"/>
  <c r="G28" i="6" s="1"/>
  <c r="P26" i="6"/>
  <c r="K26" i="6"/>
  <c r="P41" i="10"/>
  <c r="F70" i="6"/>
  <c r="F52" i="6"/>
  <c r="G52" i="6" s="1"/>
  <c r="F42" i="6"/>
  <c r="G42" i="6" s="1"/>
  <c r="R15" i="10"/>
  <c r="P51" i="10"/>
  <c r="P50" i="10"/>
  <c r="P49" i="10"/>
  <c r="R17" i="10"/>
  <c r="R16" i="10"/>
  <c r="R18" i="10"/>
  <c r="P54" i="10"/>
  <c r="P47" i="10"/>
  <c r="P53" i="10"/>
  <c r="R13" i="10"/>
  <c r="G37" i="6"/>
  <c r="G38" i="6"/>
  <c r="G24" i="6" l="1"/>
  <c r="M56" i="10"/>
  <c r="F32" i="6"/>
  <c r="G32" i="6" s="1"/>
  <c r="E59" i="6"/>
  <c r="E78" i="6" s="1"/>
  <c r="M26" i="6"/>
  <c r="M12" i="6"/>
  <c r="M23" i="6"/>
  <c r="K10" i="6"/>
  <c r="L10" i="6" s="1"/>
  <c r="P10" i="6" s="1"/>
  <c r="D59" i="6"/>
  <c r="M34" i="6"/>
  <c r="K31" i="6"/>
  <c r="L31" i="6" s="1"/>
  <c r="P31" i="6" s="1"/>
  <c r="N31" i="6"/>
  <c r="N39" i="6" s="1"/>
  <c r="M32" i="6"/>
  <c r="M35" i="6"/>
  <c r="M36" i="6"/>
  <c r="M33" i="6"/>
  <c r="M31" i="6"/>
  <c r="M10" i="6"/>
  <c r="M18" i="6"/>
  <c r="M24" i="6"/>
  <c r="F40" i="6"/>
  <c r="G40" i="6" s="1"/>
  <c r="F61" i="6"/>
  <c r="G61" i="6" s="1"/>
  <c r="P9" i="10"/>
  <c r="Q43" i="10"/>
  <c r="F69" i="6"/>
  <c r="G69" i="6" s="1"/>
  <c r="G70" i="6"/>
  <c r="P16" i="10"/>
  <c r="P13" i="10"/>
  <c r="P12" i="10"/>
  <c r="P25" i="10"/>
  <c r="P38" i="10"/>
  <c r="P31" i="10"/>
  <c r="S12" i="10"/>
  <c r="S18" i="10"/>
  <c r="R35" i="10"/>
  <c r="S24" i="10"/>
  <c r="S28" i="10"/>
  <c r="N10" i="10"/>
  <c r="G10" i="10"/>
  <c r="L50" i="10" l="1"/>
  <c r="G20" i="6"/>
  <c r="K59" i="6"/>
  <c r="L59" i="6" s="1"/>
  <c r="P59" i="6" s="1"/>
  <c r="D78" i="6"/>
  <c r="M59" i="6"/>
  <c r="N32" i="6"/>
  <c r="P40" i="10"/>
  <c r="Q9" i="10"/>
  <c r="N9" i="10"/>
  <c r="G9" i="10"/>
  <c r="R51" i="10"/>
  <c r="R50" i="10"/>
  <c r="K51" i="13" l="1"/>
  <c r="M51" i="13" s="1"/>
  <c r="K50" i="10"/>
  <c r="K47" i="10" s="1"/>
  <c r="K45" i="10" s="1"/>
  <c r="K55" i="10" s="1"/>
  <c r="L47" i="10"/>
  <c r="L45" i="10" s="1"/>
  <c r="L55" i="10" s="1"/>
  <c r="M51" i="12"/>
  <c r="K48" i="12"/>
  <c r="K45" i="12" s="1"/>
  <c r="G18" i="6"/>
  <c r="F10" i="6"/>
  <c r="F59" i="6" s="1"/>
  <c r="K49" i="11"/>
  <c r="K48" i="13" l="1"/>
  <c r="K44" i="13" s="1"/>
  <c r="R48" i="13" s="1"/>
  <c r="M50" i="10"/>
  <c r="N50" i="10" s="1"/>
  <c r="N51" i="13"/>
  <c r="M48" i="13"/>
  <c r="R47" i="12"/>
  <c r="K56" i="12"/>
  <c r="N51" i="12"/>
  <c r="M48" i="12"/>
  <c r="G10" i="6"/>
  <c r="K46" i="11"/>
  <c r="K44" i="11" s="1"/>
  <c r="M49" i="11"/>
  <c r="R49" i="10"/>
  <c r="R47" i="10"/>
  <c r="K55" i="13" l="1"/>
  <c r="P58" i="13" s="1"/>
  <c r="M47" i="10"/>
  <c r="N47" i="10" s="1"/>
  <c r="N48" i="13"/>
  <c r="M44" i="13"/>
  <c r="P58" i="12"/>
  <c r="Y54" i="12"/>
  <c r="N48" i="12"/>
  <c r="M45" i="12"/>
  <c r="F78" i="6"/>
  <c r="G78" i="6" s="1"/>
  <c r="G59" i="6"/>
  <c r="N49" i="11"/>
  <c r="M46" i="11"/>
  <c r="R47" i="11"/>
  <c r="K53" i="11"/>
  <c r="P57" i="11" s="1"/>
  <c r="P58" i="10"/>
  <c r="Y54" i="13" l="1"/>
  <c r="M45" i="10"/>
  <c r="M55" i="10" s="1"/>
  <c r="N55" i="10" s="1"/>
  <c r="N44" i="13"/>
  <c r="M55" i="13"/>
  <c r="N55" i="13" s="1"/>
  <c r="N45" i="12"/>
  <c r="M56" i="12"/>
  <c r="N56" i="12" s="1"/>
  <c r="N46" i="11"/>
  <c r="M44" i="11"/>
  <c r="N45" i="10" l="1"/>
  <c r="N44" i="11"/>
  <c r="M53" i="11"/>
  <c r="N53" i="11" s="1"/>
</calcChain>
</file>

<file path=xl/sharedStrings.xml><?xml version="1.0" encoding="utf-8"?>
<sst xmlns="http://schemas.openxmlformats.org/spreadsheetml/2006/main" count="702" uniqueCount="281">
  <si>
    <t>COD</t>
  </si>
  <si>
    <t>ACTIVO</t>
  </si>
  <si>
    <t>AUMENTO</t>
  </si>
  <si>
    <t>PASIVO Y PATRIMONIO</t>
  </si>
  <si>
    <t>PASIVO</t>
  </si>
  <si>
    <t>DISMINUCION</t>
  </si>
  <si>
    <t>-</t>
  </si>
  <si>
    <t>VENTA DE BIENES</t>
  </si>
  <si>
    <t>AVANCES Y ANTICIPOS ENTREGADOS</t>
  </si>
  <si>
    <t>EN PODER DE TERCEROS</t>
  </si>
  <si>
    <t>OTROS PASIVOS</t>
  </si>
  <si>
    <t>OTROS ACTIVOS</t>
  </si>
  <si>
    <t>INGRESOS RECIBIDOS POR ANTICIPADO</t>
  </si>
  <si>
    <t>TOTAL PASIVO</t>
  </si>
  <si>
    <t>TERRENOS</t>
  </si>
  <si>
    <t>PATRIMONIO</t>
  </si>
  <si>
    <t>BIENES MUEBLES EN BODEGA</t>
  </si>
  <si>
    <t>EDIFICACIONES</t>
  </si>
  <si>
    <t>CAPITAL FISCAL</t>
  </si>
  <si>
    <t>MAQUINARIA Y EQUIPO</t>
  </si>
  <si>
    <t>RESULTADO DEL EJERCICIO</t>
  </si>
  <si>
    <t>BIENES DE BENEFICIO Y USO PUBLICO E HISTORICOS Y CULTURALES</t>
  </si>
  <si>
    <t>BIENES HISTORICOS Y CULTURALES</t>
  </si>
  <si>
    <t>BIENES DE ARTE Y CULTURA</t>
  </si>
  <si>
    <t xml:space="preserve">TOTAL ACTIVO </t>
  </si>
  <si>
    <t>TOTAL  PASIVO Y PATRIMONIO</t>
  </si>
  <si>
    <t>CUENTAS DE ORDEN DEUDORAS</t>
  </si>
  <si>
    <t>CUENTAS DE ORDEN   ACREEDORAS</t>
  </si>
  <si>
    <t>LITIGIOS Y DEMANDAS</t>
  </si>
  <si>
    <t>Contadora Pública</t>
  </si>
  <si>
    <t>INDICADORES DE LIQUIDEZ</t>
  </si>
  <si>
    <t>CAPÍTAL DE TRABAJO</t>
  </si>
  <si>
    <t>ACT CTE - PAS CTE</t>
  </si>
  <si>
    <t>LIQUIDEZ - RAZON CORRIENTE</t>
  </si>
  <si>
    <t>(ACT CTE / PAS CTE)</t>
  </si>
  <si>
    <t>ENDEUDAMIENTO</t>
  </si>
  <si>
    <t>(TOTAL PAS / TOTAL ACT)*100</t>
  </si>
  <si>
    <t>MOVIMIENTO AÑO 2013</t>
  </si>
  <si>
    <t>CONCEPTO</t>
  </si>
  <si>
    <t>MVTO 1er TM</t>
  </si>
  <si>
    <t>MVTO 2o TM</t>
  </si>
  <si>
    <t>MVTO 3er TM</t>
  </si>
  <si>
    <t>MVTO 4o TM</t>
  </si>
  <si>
    <t>ACUM A DIC</t>
  </si>
  <si>
    <t>INDICADORES</t>
  </si>
  <si>
    <t>INGRESOS  OPERACIONALES</t>
  </si>
  <si>
    <t>BIENES COMERCIALIZADOS</t>
  </si>
  <si>
    <t>VENTA DE SERVICIOS</t>
  </si>
  <si>
    <t>SERVICIOS EDUCATIVOS</t>
  </si>
  <si>
    <t>OTROS SERVICIOS</t>
  </si>
  <si>
    <t>OTRAS TRANSFERENCIAS</t>
  </si>
  <si>
    <t>COSTO DE VENTAS</t>
  </si>
  <si>
    <t>COSTO DE VENTAS DE BIENES</t>
  </si>
  <si>
    <t>GASTOS  OPERACIONALES</t>
  </si>
  <si>
    <t xml:space="preserve"> ADMINISTRATIVOS</t>
  </si>
  <si>
    <t>CONTRIBUCIONES IMPUTADAS</t>
  </si>
  <si>
    <t>GENERALES</t>
  </si>
  <si>
    <t>IMPUESTOS, CONTRIBUCIONES Y TASAS</t>
  </si>
  <si>
    <t>OTROS INGRESOS</t>
  </si>
  <si>
    <t>FINANCIEROS</t>
  </si>
  <si>
    <t>OTROS GASTOS</t>
  </si>
  <si>
    <t>COMISIONES</t>
  </si>
  <si>
    <t>PERIODO 2013</t>
  </si>
  <si>
    <t>MES</t>
  </si>
  <si>
    <t>INGRESOS FISCALES</t>
  </si>
  <si>
    <t>GASTOS NO OPERACIONALES</t>
  </si>
  <si>
    <t>JAIRO ALBERTO SERRATO ROMERO</t>
  </si>
  <si>
    <t>Subdirector Financiero</t>
  </si>
  <si>
    <t>(Cifras en pesos colombianos sin decimales)</t>
  </si>
  <si>
    <t>ACTIVO CORRIENTE</t>
  </si>
  <si>
    <t>EFECTIVO Y EQUIVALENTES AL EFECTIVO</t>
  </si>
  <si>
    <t>DEPÓSITOS EN INSTITUCIONES FINANCIERAS</t>
  </si>
  <si>
    <t>EQUIVALENTES AL EFECTIVO</t>
  </si>
  <si>
    <t xml:space="preserve">CUENTAS POR COBRAR </t>
  </si>
  <si>
    <t>PRESTACIÓN DE SERVICIOS</t>
  </si>
  <si>
    <t>OTRAS CUENTAS POR COBRAR</t>
  </si>
  <si>
    <t xml:space="preserve">DETERIORO ACUMULADO DE CUENTAS POR COBRAR </t>
  </si>
  <si>
    <t xml:space="preserve">INVENTARIOS </t>
  </si>
  <si>
    <t>MERCANCÍAS EN EXISTENCIA</t>
  </si>
  <si>
    <t>MATERIALES Y SUMINISTROS</t>
  </si>
  <si>
    <t xml:space="preserve">ACTIVO NO CORRIENTE </t>
  </si>
  <si>
    <t>PROPIEDADES, PLANTA Y EQUIPO</t>
  </si>
  <si>
    <t>CONSTRUCCIONES EN CURSO</t>
  </si>
  <si>
    <t>PROPIEDADES, PLANTA Y EQUIPO NO EXPLOTADOS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</si>
  <si>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</si>
  <si>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</si>
  <si>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</si>
  <si>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</si>
  <si>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</si>
  <si>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</t>
  </si>
  <si>
    <t>DEPÓSITOS ENTREGADOS EN GARANTÍA</t>
  </si>
  <si>
    <t>ACTIVOS INTANGIBLES</t>
  </si>
  <si>
    <t xml:space="preserve">AMORTIZACIÓN ACUMULADA DE ACTIVOS INTANGIBLES </t>
  </si>
  <si>
    <t xml:space="preserve">PASIVO CORRIENTE </t>
  </si>
  <si>
    <t xml:space="preserve">CUENTAS POR PAGAR </t>
  </si>
  <si>
    <t>ADQUISICIÓN DE BIENES Y SERVICIOS NACIONALES</t>
  </si>
  <si>
    <t>RECURSOS A FAVOR DE TERCEROS</t>
  </si>
  <si>
    <t>DESCUENTOS DE NOMINA</t>
  </si>
  <si>
    <t>RETENCIÓN EN LA FUENTE E IMPUESTO DE TIMBRE</t>
  </si>
  <si>
    <t xml:space="preserve">IMPUESTOS, CONTRIBUCIONES Y TASAS </t>
  </si>
  <si>
    <t>OTRAS CUENTAS POR PAGAR</t>
  </si>
  <si>
    <t xml:space="preserve">BENEFICIOS A LOS EMPLEADOS </t>
  </si>
  <si>
    <t>BENEFICIOS A LOS EMPLEADOS A CORTO PLAZO</t>
  </si>
  <si>
    <t>PROVISIONES</t>
  </si>
  <si>
    <t>RECURSOS RECIBIDOS EN ADMINISTRACIÓN</t>
  </si>
  <si>
    <t xml:space="preserve">PASIVO NO CORRIENTE </t>
  </si>
  <si>
    <t>BENEFICIOS A LOS EMPLEADOS A LARGO PLAZO</t>
  </si>
  <si>
    <t>ACTIVOS CONTINGENTES</t>
  </si>
  <si>
    <t>LITIGIOS Y MECANISMOS ALTERNATIVOS DE SOLUCIÓN DE CONFLICTOS</t>
  </si>
  <si>
    <t>OTROS ACTIVOS CONTINGENTES</t>
  </si>
  <si>
    <t>ACTIVOS CONTINGENTES POR CONTRA</t>
  </si>
  <si>
    <t>PASIVOS CONTINGENTES</t>
  </si>
  <si>
    <t>GARANTIAS CONTRACTUALES</t>
  </si>
  <si>
    <t>c.c. 79.372.414</t>
  </si>
  <si>
    <t>c.c. 51.964.083</t>
  </si>
  <si>
    <t>Tarjeta Profesional Nº 52145T</t>
  </si>
  <si>
    <t>PATRIMONIO DE LAS ESTIDADES DE GOBIERNO</t>
  </si>
  <si>
    <t>RESULTADOS DE EJERCICIOS ANTERIORES</t>
  </si>
  <si>
    <t xml:space="preserve">SIN CONTRAPRESTACIÓN </t>
  </si>
  <si>
    <t>4110</t>
  </si>
  <si>
    <t>CONTRIBUCIONES, TASAS E INGRESOS NO TRIBUTARIOS</t>
  </si>
  <si>
    <t>TRANSFERENCIAS Y SUBVENCIONES</t>
  </si>
  <si>
    <t>4428</t>
  </si>
  <si>
    <t xml:space="preserve">CON  CONTRAPRESTACIÓN </t>
  </si>
  <si>
    <t>4305</t>
  </si>
  <si>
    <t>4390</t>
  </si>
  <si>
    <t>DEVOLUCIONES, REBAJAS Y DESCUENTOS EN VENTA DE SERVICIOS</t>
  </si>
  <si>
    <t xml:space="preserve">VENTA DE BIENES </t>
  </si>
  <si>
    <t>4210</t>
  </si>
  <si>
    <t>COSTO DE VENTAS DE SERVICIOS</t>
  </si>
  <si>
    <t>5101</t>
  </si>
  <si>
    <t>SUELDOS Y SALARIOS</t>
  </si>
  <si>
    <t>5102</t>
  </si>
  <si>
    <t>5103</t>
  </si>
  <si>
    <t>CONTRIBUCIONES EFECTIVAS</t>
  </si>
  <si>
    <t>5104</t>
  </si>
  <si>
    <t>APORTES SOBRE LA NÓMINA</t>
  </si>
  <si>
    <t>5107</t>
  </si>
  <si>
    <t>PRESTACIONES SOCIALES</t>
  </si>
  <si>
    <t>5111</t>
  </si>
  <si>
    <t>5120</t>
  </si>
  <si>
    <t>DETERIORO, DEPRECIACIONES, AMORTIZACIONES Y PROVISIONES</t>
  </si>
  <si>
    <t>5360</t>
  </si>
  <si>
    <t>DEPRECIACIÓN DE PROPIEDADES, PLANTA Y EQUIPO</t>
  </si>
  <si>
    <t>5366</t>
  </si>
  <si>
    <t>AMORTIZACIÓN DE ACTIVOS INTANGIBLES</t>
  </si>
  <si>
    <t>INGRESOS  NO OPERACIONALES</t>
  </si>
  <si>
    <t>INGRESOS DIVERSOS</t>
  </si>
  <si>
    <t>5802</t>
  </si>
  <si>
    <t>GASTOS DIVERSOS</t>
  </si>
  <si>
    <t>CON CONTRAPRESTACION</t>
  </si>
  <si>
    <t>Var %</t>
  </si>
  <si>
    <t xml:space="preserve">EXCEDENTE (DÉFICIT)  OPERACIONAL </t>
  </si>
  <si>
    <t>EXCEDENTE (DÉFICIT) DEL EJERCICIO</t>
  </si>
  <si>
    <t>ESTADO DE RESULTADOS COMPARATIVO</t>
  </si>
  <si>
    <t>2990</t>
  </si>
  <si>
    <t>OTROS PASIVOS DIFERIDOS</t>
  </si>
  <si>
    <t>GASTOS DE PERSONAL DIVERSOS</t>
  </si>
  <si>
    <t>CUENTAS POR COBRAR DE DIFÍCIL RECAUDO</t>
  </si>
  <si>
    <t>DETERIORO DE INVENTARIOS</t>
  </si>
  <si>
    <t>PROVISION, LITIGIOS Y DEMANDAS</t>
  </si>
  <si>
    <t>TRANSFERENCIAS POR COBRAR</t>
  </si>
  <si>
    <t>REVERSION DE LAS PERDIDAS POR DETERIORO DE VALOR</t>
  </si>
  <si>
    <t>ACREEDORAS POR CONTRA (DB)</t>
  </si>
  <si>
    <t>DEUDORAS POR CONTRA (CR)</t>
  </si>
  <si>
    <t>DETERIORO DE CUENTAS POR COBRAR</t>
  </si>
  <si>
    <t>OTROS PASIVOS CONTINGENTES</t>
  </si>
  <si>
    <t xml:space="preserve">NIT No. 899.999.124-4 </t>
  </si>
  <si>
    <t xml:space="preserve">RESPONSABILIDADES CONTINGENTES POR CONTRA </t>
  </si>
  <si>
    <t>IMPUESTOS</t>
  </si>
  <si>
    <t>DEVOLUCIONES, REBAJAS Y DESCUENTOS EN VENTA DE BIENES</t>
  </si>
  <si>
    <t>ACREEDORAS DE CONTROL POR CONTRA</t>
  </si>
  <si>
    <t>MARYSOL GUERRA LEGUIZAMÓN</t>
  </si>
  <si>
    <t>ESTADO DE SITUACIÓN FINANCIERA COMPARATIVO</t>
  </si>
  <si>
    <t>UNIVERSIDAD PEDAGÓGICA NACIONAL</t>
  </si>
  <si>
    <t>%variación</t>
  </si>
  <si>
    <t>CAJA</t>
  </si>
  <si>
    <t>ACREEDORAS DE CONTROL</t>
  </si>
  <si>
    <t>RECURSOS ADMINISTRADOS EN NOMBRE DE TERCEROS</t>
  </si>
  <si>
    <t>INVERSIONES EN INSTRUMENTOS DERIVADOS</t>
  </si>
  <si>
    <t>INVERSIONES DE ADMINISTRACIÓN DE LIQUIDEZ A COSTO AMORTIZADO</t>
  </si>
  <si>
    <t>SEPTIEMBRE</t>
  </si>
  <si>
    <t>ADOLFO LEÓN ATEHORTÚA CRUZ</t>
  </si>
  <si>
    <t>Representante Legal - Rector ( E )</t>
  </si>
  <si>
    <t>c.c. 16.347.657</t>
  </si>
  <si>
    <t>JUNIO</t>
  </si>
  <si>
    <t>A 30 DE SEPTIEMBRE DE  2023 - 30 DE JUNIO DE 2023</t>
  </si>
  <si>
    <t xml:space="preserve">Los suscritos Representante legal, Subdirector Financiero y Contador de la Universidad Pedagógica Nacional certifican que los saldos del Estado de Situación Financiera a septiembre 30 del 2023 y junio 30 del 2023, fueron tomados fielmente de los libros de contabilidad, que la contabilidad se elaboró conforme a la normatividad emitida por la Contaduría General de la Nación para Entidades de Gobierno, anexa a la Resolución 533 de 2015 y sus modificatorias. </t>
  </si>
  <si>
    <t>AJUSTE POR DIFERENCIA EN CAMBIO</t>
  </si>
  <si>
    <t>HELBERTH AUGUSTO CHOACHÍ GONZÁLEZ</t>
  </si>
  <si>
    <t xml:space="preserve">Representante Legal - Rector </t>
  </si>
  <si>
    <t>c.c. 80.171.041</t>
  </si>
  <si>
    <t>DETERIORO ACUMULADO DE PROPIEDADES, PLANTA Y EQUIPO</t>
  </si>
  <si>
    <t>BIENES Y SERVICIOS PAGADOS POR ANTICIPADO</t>
  </si>
  <si>
    <t>OPERACIONES INTERINSTITUCIONALES</t>
  </si>
  <si>
    <t>FONDOS RECIBIDOS</t>
  </si>
  <si>
    <t>OTRAS CUENTAS ACREEDORAS DE CONTROL</t>
  </si>
  <si>
    <t>DEVOLUCIONES Y DESCUENTOS INGRESOS FISCALES</t>
  </si>
  <si>
    <t>MARZO</t>
  </si>
  <si>
    <t>INGRESOS NO TRIBUTARIOS</t>
  </si>
  <si>
    <t>INVERSIONES DE ADMINISTRACION DE LIQUIDEZ A COSTO AMORTIZADO</t>
  </si>
  <si>
    <t>INVERSIONES E INSTRUMENTOS DERIVADOS</t>
  </si>
  <si>
    <t>RECURSOS ENTREGADOS EN ADMINISTRACIÓN</t>
  </si>
  <si>
    <t>A 30 DE JUNIO DE  2025 - 31 DE MARZO 2025</t>
  </si>
  <si>
    <t xml:space="preserve">Los suscritos Representante legal, Subdirector Financiero y Contador de la Universidad Pedagógica Nacional certifican que los saldos del Estado de Situación Financiera a junio 30 del 2025 y marzo 31 de 2025, fueron tomados fielmente de los libros de contabilidad, que la contabilidad se elaboró conforme a la normatividad emitida por la Contaduría General de la Nación para Entidades de Gobierno, anexa a la Resolución 533 de 2015 y sus modificatorias. </t>
  </si>
  <si>
    <t>DERECHOS DE COMPENSACIONES POR IMPUESTOS Y CONTRIBUCIONES</t>
  </si>
  <si>
    <t>A 30 DE SEPTIEMBRE DE  2025 - 30 DE JUNIO 2025</t>
  </si>
  <si>
    <t xml:space="preserve">Los suscritos Representante legal, Subdirector Financiero y Contador de la Universidad Pedagógica Nacional certifican que los saldos del Estado de Situación Financiera a septiembre 30 del 2025 y junio 30 de 2025, fueron tomados fielmente de los libros de contabilidad, que la contabilidad se elaboró conforme a la normatividad emitida por la Contaduría General de la Nación para Entidades de Gobierno, anexa a la Resolución 533 de 2015 y sus modificatorias. </t>
  </si>
  <si>
    <t>REVERSION DE PROVISIONES</t>
  </si>
  <si>
    <t>A 31 DE DICIEMBRE DE  2025 - 2024</t>
  </si>
  <si>
    <t>14.1</t>
  </si>
  <si>
    <t>5.1</t>
  </si>
  <si>
    <t>5.3</t>
  </si>
  <si>
    <t>6.1</t>
  </si>
  <si>
    <t>7.6</t>
  </si>
  <si>
    <t>25.1.1</t>
  </si>
  <si>
    <t>9.1</t>
  </si>
  <si>
    <t>10.2</t>
  </si>
  <si>
    <t>10.3</t>
  </si>
  <si>
    <t>10.1</t>
  </si>
  <si>
    <t>10.4</t>
  </si>
  <si>
    <t>11.2</t>
  </si>
  <si>
    <t>23.1</t>
  </si>
  <si>
    <t>24.1</t>
  </si>
  <si>
    <t>27.1</t>
  </si>
  <si>
    <t>27.2</t>
  </si>
  <si>
    <t>DEL 01 DE ENERO AL 31 DE DICIEMBRE DEL  2025 - 2024</t>
  </si>
  <si>
    <t>30.1</t>
  </si>
  <si>
    <t>30.2</t>
  </si>
  <si>
    <t>29.1</t>
  </si>
  <si>
    <t>29.1.1</t>
  </si>
  <si>
    <t>29.1.2</t>
  </si>
  <si>
    <t>29.1.5</t>
  </si>
  <si>
    <t>29.2</t>
  </si>
  <si>
    <t>DICIEMBRE</t>
  </si>
  <si>
    <t>27.1.1</t>
  </si>
  <si>
    <t>25.1.2</t>
  </si>
  <si>
    <t>22.1.1</t>
  </si>
  <si>
    <t>22.1.5</t>
  </si>
  <si>
    <t>23.2</t>
  </si>
  <si>
    <t>26.1.1</t>
  </si>
  <si>
    <t>26.1.2</t>
  </si>
  <si>
    <t>26.1.3</t>
  </si>
  <si>
    <t>27.1.2</t>
  </si>
  <si>
    <t>27.2.1</t>
  </si>
  <si>
    <t>27.2.2</t>
  </si>
  <si>
    <t>27.2.3</t>
  </si>
  <si>
    <t>29.2.1</t>
  </si>
  <si>
    <t>29.2.2</t>
  </si>
  <si>
    <t>31.1</t>
  </si>
  <si>
    <t>31.2</t>
  </si>
  <si>
    <t>30.1.1</t>
  </si>
  <si>
    <t>30.1.2</t>
  </si>
  <si>
    <t>30.1.3</t>
  </si>
  <si>
    <t>30.1.4</t>
  </si>
  <si>
    <t>30.1.5</t>
  </si>
  <si>
    <t>30.1.6</t>
  </si>
  <si>
    <t>30.1.7</t>
  </si>
  <si>
    <t>30.1.8</t>
  </si>
  <si>
    <t>29.2.3</t>
  </si>
  <si>
    <t>22.1.2</t>
  </si>
  <si>
    <t>22.1.3</t>
  </si>
  <si>
    <t>22.1.4</t>
  </si>
  <si>
    <t>22.1.6</t>
  </si>
  <si>
    <t>25.1.3</t>
  </si>
  <si>
    <t>7.1</t>
  </si>
  <si>
    <t>7.2</t>
  </si>
  <si>
    <t>7.3</t>
  </si>
  <si>
    <t>7.4</t>
  </si>
  <si>
    <t>9.2</t>
  </si>
  <si>
    <t>9.3</t>
  </si>
  <si>
    <t>16.1.1</t>
  </si>
  <si>
    <t>16.1.2</t>
  </si>
  <si>
    <t>16.1.3</t>
  </si>
  <si>
    <t>7.5</t>
  </si>
  <si>
    <t>16.1.4</t>
  </si>
  <si>
    <t>16.1.5</t>
  </si>
  <si>
    <t>29.1.3</t>
  </si>
  <si>
    <t>29.1.4</t>
  </si>
  <si>
    <t>29.1.6</t>
  </si>
  <si>
    <t>30.3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</si>
</sst>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sz val="10"/>
      <name val="Century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entury"/>
      <family val="1"/>
    </font>
    <font>
      <b/>
      <sz val="10"/>
      <color theme="3" tint="0.39997558519241921"/>
      <name val="Arial"/>
      <family val="2"/>
    </font>
    <font>
      <b/>
      <sz val="12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6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5" fillId="0" borderId="0" xfId="0" applyFont="1" applyFill="1" applyBorder="1" applyAlignment="1">
      <alignment horizontal="left"/>
    </xf>
    <xf numFmtId="4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0" fontId="1" fillId="0" borderId="0" xfId="0" applyNumberFormat="1" applyFont="1" applyFill="1"/>
    <xf numFmtId="4" fontId="6" fillId="0" borderId="0" xfId="0" applyNumberFormat="1" applyFont="1" applyFill="1"/>
    <xf numFmtId="3" fontId="6" fillId="0" borderId="0" xfId="0" applyNumberFormat="1" applyFont="1" applyFill="1"/>
    <xf numFmtId="4" fontId="5" fillId="0" borderId="0" xfId="0" applyNumberFormat="1" applyFont="1" applyFill="1" applyBorder="1"/>
    <xf numFmtId="4" fontId="0" fillId="0" borderId="0" xfId="0" applyNumberFormat="1" applyFill="1"/>
    <xf numFmtId="0" fontId="1" fillId="0" borderId="4" xfId="0" applyFont="1" applyFill="1" applyBorder="1"/>
    <xf numFmtId="4" fontId="9" fillId="0" borderId="0" xfId="0" applyNumberFormat="1" applyFont="1" applyFill="1" applyBorder="1"/>
    <xf numFmtId="4" fontId="1" fillId="0" borderId="0" xfId="0" applyNumberFormat="1" applyFont="1" applyFill="1"/>
    <xf numFmtId="4" fontId="1" fillId="0" borderId="0" xfId="0" applyNumberFormat="1" applyFont="1" applyFill="1" applyBorder="1"/>
    <xf numFmtId="1" fontId="4" fillId="0" borderId="5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4" fontId="0" fillId="0" borderId="0" xfId="0" applyNumberFormat="1" applyFill="1"/>
    <xf numFmtId="3" fontId="0" fillId="0" borderId="0" xfId="0" applyNumberFormat="1" applyFill="1" applyBorder="1"/>
    <xf numFmtId="4" fontId="7" fillId="0" borderId="0" xfId="0" applyNumberFormat="1" applyFont="1" applyFill="1"/>
    <xf numFmtId="0" fontId="5" fillId="0" borderId="0" xfId="0" applyFont="1" applyFill="1" applyAlignment="1">
      <alignment horizontal="center"/>
    </xf>
    <xf numFmtId="4" fontId="0" fillId="0" borderId="0" xfId="0" applyNumberForma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" fontId="4" fillId="0" borderId="0" xfId="0" applyNumberFormat="1" applyFont="1" applyFill="1"/>
    <xf numFmtId="2" fontId="1" fillId="0" borderId="0" xfId="0" applyNumberFormat="1" applyFont="1" applyFill="1"/>
    <xf numFmtId="3" fontId="1" fillId="0" borderId="0" xfId="0" applyNumberFormat="1" applyFont="1" applyFill="1" applyBorder="1"/>
    <xf numFmtId="2" fontId="5" fillId="0" borderId="0" xfId="0" applyNumberFormat="1" applyFont="1" applyFill="1"/>
    <xf numFmtId="2" fontId="4" fillId="0" borderId="0" xfId="0" applyNumberFormat="1" applyFont="1" applyFill="1"/>
    <xf numFmtId="3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/>
    <xf numFmtId="4" fontId="6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quotePrefix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5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3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" fontId="1" fillId="0" borderId="0" xfId="1" applyNumberFormat="1" applyFont="1" applyFill="1"/>
    <xf numFmtId="0" fontId="1" fillId="0" borderId="0" xfId="0" quotePrefix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4" fontId="1" fillId="0" borderId="4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3" fontId="11" fillId="0" borderId="0" xfId="0" applyNumberFormat="1" applyFont="1" applyFill="1" applyBorder="1"/>
    <xf numFmtId="3" fontId="10" fillId="0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0" fontId="11" fillId="0" borderId="0" xfId="0" applyFont="1" applyFill="1" applyBorder="1"/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0" fontId="0" fillId="0" borderId="0" xfId="0" applyFill="1" applyAlignment="1"/>
    <xf numFmtId="0" fontId="0" fillId="0" borderId="0" xfId="0" applyFill="1"/>
    <xf numFmtId="0" fontId="13" fillId="0" borderId="0" xfId="0" applyFont="1" applyFill="1" applyBorder="1" applyAlignment="1">
      <alignment horizontal="center"/>
    </xf>
    <xf numFmtId="4" fontId="1" fillId="0" borderId="9" xfId="0" applyNumberFormat="1" applyFont="1" applyFill="1" applyBorder="1"/>
    <xf numFmtId="4" fontId="1" fillId="0" borderId="10" xfId="0" applyNumberFormat="1" applyFont="1" applyFill="1" applyBorder="1"/>
    <xf numFmtId="4" fontId="1" fillId="0" borderId="8" xfId="0" applyNumberFormat="1" applyFont="1" applyFill="1" applyBorder="1"/>
    <xf numFmtId="4" fontId="5" fillId="0" borderId="0" xfId="0" quotePrefix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Continuous"/>
    </xf>
    <xf numFmtId="3" fontId="9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9" fontId="5" fillId="0" borderId="3" xfId="1" applyNumberFormat="1" applyFont="1" applyFill="1" applyBorder="1" applyAlignment="1">
      <alignment horizontal="center"/>
    </xf>
    <xf numFmtId="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0" fillId="0" borderId="12" xfId="0" applyFill="1" applyBorder="1" applyAlignment="1">
      <alignment horizontal="right"/>
    </xf>
    <xf numFmtId="0" fontId="0" fillId="0" borderId="12" xfId="0" applyFill="1" applyBorder="1"/>
    <xf numFmtId="0" fontId="1" fillId="0" borderId="12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1" fillId="0" borderId="12" xfId="0" applyFont="1" applyFill="1" applyBorder="1"/>
    <xf numFmtId="0" fontId="1" fillId="0" borderId="3" xfId="0" applyFont="1" applyFill="1" applyBorder="1"/>
    <xf numFmtId="9" fontId="5" fillId="0" borderId="3" xfId="0" applyNumberFormat="1" applyFont="1" applyFill="1" applyBorder="1" applyAlignment="1">
      <alignment horizontal="center"/>
    </xf>
    <xf numFmtId="0" fontId="6" fillId="0" borderId="12" xfId="0" applyFont="1" applyFill="1" applyBorder="1"/>
    <xf numFmtId="38" fontId="6" fillId="0" borderId="3" xfId="0" applyNumberFormat="1" applyFont="1" applyFill="1" applyBorder="1"/>
    <xf numFmtId="9" fontId="10" fillId="0" borderId="3" xfId="1" applyNumberFormat="1" applyFont="1" applyFill="1" applyBorder="1"/>
    <xf numFmtId="9" fontId="11" fillId="0" borderId="3" xfId="0" applyNumberFormat="1" applyFont="1" applyFill="1" applyBorder="1"/>
    <xf numFmtId="0" fontId="6" fillId="0" borderId="12" xfId="0" quotePrefix="1" applyFont="1" applyFill="1" applyBorder="1" applyAlignment="1">
      <alignment horizontal="right"/>
    </xf>
    <xf numFmtId="0" fontId="4" fillId="0" borderId="12" xfId="0" quotePrefix="1" applyFont="1" applyFill="1" applyBorder="1" applyAlignment="1">
      <alignment horizontal="left"/>
    </xf>
    <xf numFmtId="9" fontId="11" fillId="0" borderId="3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9" fontId="10" fillId="0" borderId="3" xfId="0" applyNumberFormat="1" applyFont="1" applyFill="1" applyBorder="1"/>
    <xf numFmtId="0" fontId="0" fillId="0" borderId="3" xfId="0" applyFill="1" applyBorder="1"/>
    <xf numFmtId="0" fontId="0" fillId="0" borderId="3" xfId="0" applyFill="1" applyBorder="1" applyAlignment="1"/>
    <xf numFmtId="4" fontId="1" fillId="0" borderId="14" xfId="0" applyNumberFormat="1" applyFont="1" applyFill="1" applyBorder="1"/>
    <xf numFmtId="0" fontId="1" fillId="0" borderId="14" xfId="0" applyFont="1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4" fontId="4" fillId="0" borderId="16" xfId="0" applyNumberFormat="1" applyFont="1" applyFill="1" applyBorder="1" applyAlignment="1">
      <alignment horizontal="center"/>
    </xf>
    <xf numFmtId="9" fontId="10" fillId="0" borderId="16" xfId="1" applyNumberFormat="1" applyFont="1" applyFill="1" applyBorder="1"/>
    <xf numFmtId="9" fontId="11" fillId="0" borderId="16" xfId="0" applyNumberFormat="1" applyFont="1" applyFill="1" applyBorder="1"/>
    <xf numFmtId="3" fontId="10" fillId="0" borderId="18" xfId="0" applyNumberFormat="1" applyFont="1" applyFill="1" applyBorder="1"/>
    <xf numFmtId="9" fontId="10" fillId="0" borderId="17" xfId="1" applyNumberFormat="1" applyFont="1" applyFill="1" applyBorder="1"/>
    <xf numFmtId="9" fontId="10" fillId="0" borderId="19" xfId="1" applyNumberFormat="1" applyFont="1" applyFill="1" applyBorder="1"/>
    <xf numFmtId="0" fontId="4" fillId="0" borderId="18" xfId="0" applyFont="1" applyFill="1" applyBorder="1" applyAlignment="1">
      <alignment horizontal="center"/>
    </xf>
    <xf numFmtId="3" fontId="5" fillId="0" borderId="18" xfId="0" applyNumberFormat="1" applyFont="1" applyFill="1" applyBorder="1"/>
    <xf numFmtId="9" fontId="5" fillId="0" borderId="19" xfId="1" applyNumberFormat="1" applyFont="1" applyFill="1" applyBorder="1" applyAlignment="1">
      <alignment horizontal="center"/>
    </xf>
    <xf numFmtId="0" fontId="6" fillId="0" borderId="13" xfId="0" applyFont="1" applyFill="1" applyBorder="1"/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3" fontId="10" fillId="0" borderId="20" xfId="0" applyNumberFormat="1" applyFont="1" applyFill="1" applyBorder="1"/>
    <xf numFmtId="9" fontId="10" fillId="0" borderId="21" xfId="1" applyNumberFormat="1" applyFont="1" applyFill="1" applyBorder="1"/>
    <xf numFmtId="0" fontId="6" fillId="0" borderId="14" xfId="0" applyFont="1" applyFill="1" applyBorder="1"/>
    <xf numFmtId="9" fontId="10" fillId="0" borderId="22" xfId="1" applyNumberFormat="1" applyFont="1" applyFill="1" applyBorder="1"/>
    <xf numFmtId="0" fontId="4" fillId="0" borderId="0" xfId="0" quotePrefix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3" fontId="10" fillId="0" borderId="4" xfId="0" applyNumberFormat="1" applyFont="1" applyFill="1" applyBorder="1"/>
    <xf numFmtId="0" fontId="4" fillId="0" borderId="11" xfId="0" applyFont="1" applyFill="1" applyBorder="1" applyAlignment="1">
      <alignment horizontal="left"/>
    </xf>
    <xf numFmtId="9" fontId="10" fillId="0" borderId="6" xfId="1" applyNumberFormat="1" applyFont="1" applyFill="1" applyBorder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3" fontId="10" fillId="0" borderId="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13" fillId="0" borderId="12" xfId="0" applyNumberFormat="1" applyFont="1" applyFill="1" applyBorder="1" applyAlignment="1"/>
    <xf numFmtId="0" fontId="15" fillId="0" borderId="14" xfId="0" applyFont="1" applyFill="1" applyBorder="1" applyAlignment="1">
      <alignment horizontal="center"/>
    </xf>
    <xf numFmtId="16" fontId="6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" fontId="10" fillId="0" borderId="0" xfId="0" applyNumberFormat="1" applyFont="1" applyFill="1" applyBorder="1" applyAlignment="1">
      <alignment horizontal="center"/>
    </xf>
    <xf numFmtId="0" fontId="10" fillId="0" borderId="0" xfId="0" quotePrefix="1" applyFont="1" applyFill="1" applyBorder="1" applyAlignment="1">
      <alignment horizontal="center"/>
    </xf>
    <xf numFmtId="9" fontId="11" fillId="0" borderId="0" xfId="0" applyNumberFormat="1" applyFont="1" applyFill="1" applyBorder="1"/>
    <xf numFmtId="9" fontId="11" fillId="0" borderId="0" xfId="0" applyNumberFormat="1" applyFont="1" applyFill="1" applyBorder="1" applyAlignment="1">
      <alignment horizontal="right"/>
    </xf>
    <xf numFmtId="9" fontId="10" fillId="0" borderId="0" xfId="1" applyNumberFormat="1" applyFont="1" applyFill="1" applyBorder="1"/>
    <xf numFmtId="0" fontId="6" fillId="0" borderId="24" xfId="0" applyFont="1" applyFill="1" applyBorder="1" applyAlignment="1">
      <alignment horizontal="right"/>
    </xf>
    <xf numFmtId="0" fontId="4" fillId="0" borderId="24" xfId="0" quotePrefix="1" applyFont="1" applyFill="1" applyBorder="1" applyAlignment="1">
      <alignment horizontal="left"/>
    </xf>
    <xf numFmtId="9" fontId="10" fillId="0" borderId="0" xfId="0" applyNumberFormat="1" applyFont="1" applyFill="1" applyBorder="1"/>
    <xf numFmtId="9" fontId="10" fillId="0" borderId="4" xfId="1" applyNumberFormat="1" applyFont="1" applyFill="1" applyBorder="1"/>
    <xf numFmtId="0" fontId="4" fillId="0" borderId="25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9" fontId="10" fillId="0" borderId="3" xfId="1" applyNumberFormat="1" applyFont="1" applyFill="1" applyBorder="1" applyAlignment="1">
      <alignment horizontal="right"/>
    </xf>
    <xf numFmtId="9" fontId="11" fillId="0" borderId="26" xfId="0" applyNumberFormat="1" applyFont="1" applyFill="1" applyBorder="1"/>
    <xf numFmtId="9" fontId="11" fillId="0" borderId="26" xfId="0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" fontId="10" fillId="0" borderId="27" xfId="0" applyNumberFormat="1" applyFont="1" applyFill="1" applyBorder="1"/>
    <xf numFmtId="9" fontId="10" fillId="0" borderId="28" xfId="1" applyNumberFormat="1" applyFont="1" applyFill="1" applyBorder="1"/>
    <xf numFmtId="3" fontId="10" fillId="0" borderId="29" xfId="0" applyNumberFormat="1" applyFont="1" applyFill="1" applyBorder="1"/>
    <xf numFmtId="9" fontId="10" fillId="0" borderId="30" xfId="0" applyNumberFormat="1" applyFont="1" applyFill="1" applyBorder="1"/>
    <xf numFmtId="9" fontId="10" fillId="0" borderId="16" xfId="1" applyNumberFormat="1" applyFont="1" applyFill="1" applyBorder="1" applyAlignment="1">
      <alignment horizontal="right"/>
    </xf>
    <xf numFmtId="9" fontId="11" fillId="0" borderId="16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/>
    <xf numFmtId="3" fontId="11" fillId="0" borderId="0" xfId="0" applyNumberFormat="1" applyFont="1"/>
    <xf numFmtId="3" fontId="1" fillId="0" borderId="0" xfId="0" applyNumberFormat="1" applyFont="1"/>
    <xf numFmtId="0" fontId="5" fillId="0" borderId="14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/>
    <xf numFmtId="0" fontId="6" fillId="0" borderId="12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 wrapText="1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/>
    <xf numFmtId="3" fontId="11" fillId="0" borderId="0" xfId="0" applyNumberFormat="1" applyFont="1" applyAlignment="1">
      <alignment vertical="center"/>
    </xf>
    <xf numFmtId="4" fontId="1" fillId="0" borderId="31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vertical="center"/>
    </xf>
    <xf numFmtId="9" fontId="10" fillId="0" borderId="17" xfId="1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9" fontId="10" fillId="0" borderId="16" xfId="1" applyNumberFormat="1" applyFont="1" applyFill="1" applyBorder="1" applyAlignment="1">
      <alignment vertical="center"/>
    </xf>
    <xf numFmtId="9" fontId="11" fillId="0" borderId="16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9" fontId="10" fillId="0" borderId="16" xfId="1" applyNumberFormat="1" applyFont="1" applyFill="1" applyBorder="1" applyAlignment="1">
      <alignment horizontal="right" vertical="center"/>
    </xf>
    <xf numFmtId="9" fontId="11" fillId="0" borderId="16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0" fillId="0" borderId="20" xfId="0" applyNumberFormat="1" applyFont="1" applyFill="1" applyBorder="1" applyAlignment="1">
      <alignment vertical="center"/>
    </xf>
    <xf numFmtId="9" fontId="10" fillId="0" borderId="21" xfId="1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2" xfId="0" quotePrefix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2" xfId="0" quotePrefix="1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6" fillId="0" borderId="12" xfId="0" quotePrefix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16" fontId="6" fillId="0" borderId="0" xfId="0" applyNumberFormat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9" fontId="10" fillId="0" borderId="19" xfId="1" applyNumberFormat="1" applyFont="1" applyFill="1" applyBorder="1" applyAlignment="1">
      <alignment vertical="center"/>
    </xf>
    <xf numFmtId="9" fontId="10" fillId="0" borderId="3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9" fontId="11" fillId="0" borderId="3" xfId="0" applyNumberFormat="1" applyFont="1" applyFill="1" applyBorder="1" applyAlignment="1">
      <alignment vertical="center"/>
    </xf>
    <xf numFmtId="9" fontId="10" fillId="0" borderId="3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right" vertical="center"/>
    </xf>
    <xf numFmtId="3" fontId="10" fillId="0" borderId="27" xfId="0" applyNumberFormat="1" applyFont="1" applyFill="1" applyBorder="1" applyAlignment="1">
      <alignment vertical="center"/>
    </xf>
    <xf numFmtId="9" fontId="10" fillId="0" borderId="28" xfId="1" applyNumberFormat="1" applyFont="1" applyFill="1" applyBorder="1" applyAlignment="1">
      <alignment vertical="center"/>
    </xf>
    <xf numFmtId="3" fontId="10" fillId="0" borderId="29" xfId="0" applyNumberFormat="1" applyFont="1" applyFill="1" applyBorder="1" applyAlignment="1">
      <alignment vertical="center"/>
    </xf>
    <xf numFmtId="9" fontId="10" fillId="0" borderId="30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9" fontId="10" fillId="0" borderId="22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vertical="center"/>
    </xf>
    <xf numFmtId="9" fontId="10" fillId="0" borderId="4" xfId="1" applyNumberFormat="1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9" fontId="10" fillId="0" borderId="6" xfId="1" applyNumberFormat="1" applyFont="1" applyFill="1" applyBorder="1" applyAlignment="1">
      <alignment vertical="center"/>
    </xf>
    <xf numFmtId="9" fontId="10" fillId="0" borderId="0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/>
    </xf>
    <xf numFmtId="9" fontId="11" fillId="0" borderId="0" xfId="0" applyNumberFormat="1" applyFont="1" applyFill="1" applyBorder="1" applyAlignment="1">
      <alignment vertical="center"/>
    </xf>
    <xf numFmtId="0" fontId="6" fillId="0" borderId="24" xfId="0" applyFont="1" applyFill="1" applyBorder="1" applyAlignment="1">
      <alignment horizontal="right" vertical="center"/>
    </xf>
    <xf numFmtId="9" fontId="11" fillId="0" borderId="3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9" fontId="10" fillId="0" borderId="0" xfId="1" applyNumberFormat="1" applyFont="1" applyFill="1" applyBorder="1" applyAlignment="1">
      <alignment vertical="center"/>
    </xf>
    <xf numFmtId="0" fontId="4" fillId="0" borderId="24" xfId="0" quotePrefix="1" applyFont="1" applyFill="1" applyBorder="1" applyAlignment="1">
      <alignment horizontal="left" vertical="center"/>
    </xf>
    <xf numFmtId="9" fontId="10" fillId="0" borderId="3" xfId="1" applyNumberFormat="1" applyFont="1" applyFill="1" applyBorder="1" applyAlignment="1">
      <alignment horizontal="right" vertical="center"/>
    </xf>
    <xf numFmtId="9" fontId="11" fillId="0" borderId="26" xfId="0" applyNumberFormat="1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right" vertical="center"/>
    </xf>
    <xf numFmtId="9" fontId="11" fillId="0" borderId="26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0" fontId="5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" fontId="13" fillId="0" borderId="12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3" fontId="13" fillId="0" borderId="12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justify" wrapText="1"/>
    </xf>
    <xf numFmtId="0" fontId="1" fillId="0" borderId="0" xfId="0" applyFont="1" applyFill="1" applyBorder="1" applyAlignment="1">
      <alignment horizontal="left" vertical="justify" wrapText="1"/>
    </xf>
    <xf numFmtId="0" fontId="1" fillId="0" borderId="3" xfId="0" applyFont="1" applyFill="1" applyBorder="1" applyAlignment="1">
      <alignment horizontal="left" vertical="justify" wrapText="1"/>
    </xf>
    <xf numFmtId="0" fontId="10" fillId="0" borderId="12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1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8" fillId="0" borderId="0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2F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</xdr:colOff>
      <xdr:row>0</xdr:row>
      <xdr:rowOff>199807</xdr:rowOff>
    </xdr:from>
    <xdr:to>
      <xdr:col>13</xdr:col>
      <xdr:colOff>274760</xdr:colOff>
      <xdr:row>4</xdr:row>
      <xdr:rowOff>9038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990B31-AC16-4C36-A426-BE9FAEA28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4" y="199807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0</xdr:row>
      <xdr:rowOff>47625</xdr:rowOff>
    </xdr:from>
    <xdr:to>
      <xdr:col>1</xdr:col>
      <xdr:colOff>1362076</xdr:colOff>
      <xdr:row>4</xdr:row>
      <xdr:rowOff>129662</xdr:rowOff>
    </xdr:to>
    <xdr:pic>
      <xdr:nvPicPr>
        <xdr:cNvPr id="7" name="Imagen 6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F74AACC8-3B36-4504-86F9-1017D207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7625"/>
          <a:ext cx="1019176" cy="99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401054</xdr:colOff>
      <xdr:row>0</xdr:row>
      <xdr:rowOff>140366</xdr:rowOff>
    </xdr:from>
    <xdr:to>
      <xdr:col>5</xdr:col>
      <xdr:colOff>475288</xdr:colOff>
      <xdr:row>4</xdr:row>
      <xdr:rowOff>61892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2A4927-C9D0-4B71-9BEB-473BE1FD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7422" y="140366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32604</xdr:colOff>
      <xdr:row>0</xdr:row>
      <xdr:rowOff>80211</xdr:rowOff>
    </xdr:from>
    <xdr:to>
      <xdr:col>1</xdr:col>
      <xdr:colOff>972553</xdr:colOff>
      <xdr:row>5</xdr:row>
      <xdr:rowOff>6584</xdr:rowOff>
    </xdr:to>
    <xdr:pic>
      <xdr:nvPicPr>
        <xdr:cNvPr id="7" name="Imagen 6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D93BBD00-DABF-4016-B6E3-EECF95BA9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30" y="80211"/>
          <a:ext cx="939949" cy="91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123825</xdr:rowOff>
    </xdr:from>
    <xdr:to>
      <xdr:col>1</xdr:col>
      <xdr:colOff>1587666</xdr:colOff>
      <xdr:row>4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E3FF4C-A643-443B-AE85-D878CE19420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3825"/>
          <a:ext cx="1463841" cy="95250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</xdr:colOff>
      <xdr:row>0</xdr:row>
      <xdr:rowOff>199807</xdr:rowOff>
    </xdr:from>
    <xdr:to>
      <xdr:col>13</xdr:col>
      <xdr:colOff>293810</xdr:colOff>
      <xdr:row>4</xdr:row>
      <xdr:rowOff>9038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B194DE-C296-41DA-BA8D-A490953C2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4" y="199807"/>
          <a:ext cx="2179761" cy="7236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</xdr:colOff>
      <xdr:row>0</xdr:row>
      <xdr:rowOff>199807</xdr:rowOff>
    </xdr:from>
    <xdr:to>
      <xdr:col>13</xdr:col>
      <xdr:colOff>293810</xdr:colOff>
      <xdr:row>4</xdr:row>
      <xdr:rowOff>9038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E618DE-CEAA-4B1D-A17E-88772B08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4" y="199807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342899</xdr:colOff>
      <xdr:row>0</xdr:row>
      <xdr:rowOff>47625</xdr:rowOff>
    </xdr:from>
    <xdr:to>
      <xdr:col>1</xdr:col>
      <xdr:colOff>1434044</xdr:colOff>
      <xdr:row>4</xdr:row>
      <xdr:rowOff>200025</xdr:rowOff>
    </xdr:to>
    <xdr:pic>
      <xdr:nvPicPr>
        <xdr:cNvPr id="3" name="Imagen 2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1AC464DB-4D56-4E32-B7D8-B6FD30DF0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47625"/>
          <a:ext cx="109114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123825</xdr:rowOff>
    </xdr:from>
    <xdr:to>
      <xdr:col>1</xdr:col>
      <xdr:colOff>1587666</xdr:colOff>
      <xdr:row>4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975D1E-4C62-4BC8-A868-A7418F418FA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3825"/>
          <a:ext cx="1463841" cy="952501"/>
        </a:xfrm>
        <a:prstGeom prst="rect">
          <a:avLst/>
        </a:prstGeom>
      </xdr:spPr>
    </xdr:pic>
    <xdr:clientData/>
  </xdr:twoCellAnchor>
  <xdr:twoCellAnchor editAs="oneCell">
    <xdr:from>
      <xdr:col>11</xdr:col>
      <xdr:colOff>41847</xdr:colOff>
      <xdr:row>0</xdr:row>
      <xdr:rowOff>206546</xdr:rowOff>
    </xdr:from>
    <xdr:to>
      <xdr:col>13</xdr:col>
      <xdr:colOff>219075</xdr:colOff>
      <xdr:row>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45CE6D-AE0B-4923-B0D6-475624A7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6672" y="206546"/>
          <a:ext cx="1110678" cy="736429"/>
        </a:xfrm>
        <a:prstGeom prst="rect">
          <a:avLst/>
        </a:prstGeom>
        <a:solidFill>
          <a:srgbClr val="1F497D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opLeftCell="A36" zoomScaleNormal="100" workbookViewId="0">
      <selection activeCell="AB36" sqref="AB36"/>
    </sheetView>
  </sheetViews>
  <sheetFormatPr baseColWidth="10" defaultColWidth="11.42578125" defaultRowHeight="12.75" x14ac:dyDescent="0.2"/>
  <cols>
    <col min="1" max="1" width="5.140625" style="81" customWidth="1"/>
    <col min="2" max="2" width="24.5703125" style="81" customWidth="1"/>
    <col min="3" max="3" width="5" style="71" customWidth="1"/>
    <col min="4" max="5" width="14.5703125" style="14" customWidth="1"/>
    <col min="6" max="6" width="28" style="14" hidden="1" customWidth="1"/>
    <col min="7" max="7" width="8.5703125" style="14" bestFit="1" customWidth="1"/>
    <col min="8" max="8" width="4.42578125" style="81" bestFit="1" customWidth="1"/>
    <col min="9" max="9" width="21.85546875" style="81" customWidth="1"/>
    <col min="10" max="10" width="6.7109375" style="71" customWidth="1"/>
    <col min="11" max="11" width="14.42578125" style="21" customWidth="1"/>
    <col min="12" max="12" width="14.28515625" style="14" bestFit="1" customWidth="1"/>
    <col min="13" max="13" width="13.85546875" style="14" hidden="1" customWidth="1"/>
    <col min="14" max="14" width="8.285156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85" t="s">
        <v>174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7"/>
    </row>
    <row r="2" spans="1:25" s="1" customFormat="1" ht="18" x14ac:dyDescent="0.25">
      <c r="A2" s="288" t="s">
        <v>167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90"/>
    </row>
    <row r="3" spans="1:25" s="1" customFormat="1" ht="18" x14ac:dyDescent="0.25">
      <c r="A3" s="288" t="s">
        <v>173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1:25" s="1" customFormat="1" ht="18" x14ac:dyDescent="0.25">
      <c r="A4" s="288" t="s">
        <v>209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90"/>
    </row>
    <row r="5" spans="1:25" s="1" customFormat="1" ht="18" x14ac:dyDescent="0.25">
      <c r="A5" s="291" t="s">
        <v>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3"/>
    </row>
    <row r="6" spans="1:25" s="2" customFormat="1" ht="14.25" customHeight="1" x14ac:dyDescent="0.2">
      <c r="A6" s="294" t="s">
        <v>0</v>
      </c>
      <c r="B6" s="295" t="s">
        <v>38</v>
      </c>
      <c r="C6" s="295"/>
      <c r="D6" s="93">
        <v>2025</v>
      </c>
      <c r="E6" s="93">
        <v>2024</v>
      </c>
      <c r="F6" s="43" t="s">
        <v>2</v>
      </c>
      <c r="G6" s="296" t="s">
        <v>151</v>
      </c>
      <c r="H6" s="297" t="s">
        <v>0</v>
      </c>
      <c r="I6" s="295" t="s">
        <v>38</v>
      </c>
      <c r="J6" s="295"/>
      <c r="K6" s="93">
        <v>2025</v>
      </c>
      <c r="L6" s="93">
        <v>2024</v>
      </c>
      <c r="M6" s="43" t="s">
        <v>2</v>
      </c>
      <c r="N6" s="298" t="s">
        <v>151</v>
      </c>
      <c r="P6" s="300" t="s">
        <v>1</v>
      </c>
      <c r="Q6" s="300"/>
      <c r="R6" s="300" t="s">
        <v>4</v>
      </c>
      <c r="S6" s="300"/>
    </row>
    <row r="7" spans="1:25" s="2" customFormat="1" ht="12" customHeight="1" x14ac:dyDescent="0.2">
      <c r="A7" s="294"/>
      <c r="B7" s="295"/>
      <c r="C7" s="295"/>
      <c r="D7" s="93" t="s">
        <v>234</v>
      </c>
      <c r="E7" s="93" t="s">
        <v>234</v>
      </c>
      <c r="F7" s="43" t="s">
        <v>5</v>
      </c>
      <c r="G7" s="296"/>
      <c r="H7" s="297"/>
      <c r="I7" s="295"/>
      <c r="J7" s="295"/>
      <c r="K7" s="93" t="s">
        <v>234</v>
      </c>
      <c r="L7" s="93" t="s">
        <v>234</v>
      </c>
      <c r="M7" s="43" t="s">
        <v>5</v>
      </c>
      <c r="N7" s="298"/>
    </row>
    <row r="8" spans="1:25" s="2" customFormat="1" ht="15.75" customHeight="1" x14ac:dyDescent="0.2">
      <c r="A8" s="109"/>
      <c r="B8" s="243" t="s">
        <v>1</v>
      </c>
      <c r="C8" s="43"/>
      <c r="D8" s="89"/>
      <c r="E8" s="89"/>
      <c r="F8" s="89"/>
      <c r="G8" s="124"/>
      <c r="H8" s="41"/>
      <c r="I8" s="243" t="s">
        <v>3</v>
      </c>
      <c r="J8" s="43"/>
      <c r="K8" s="20"/>
      <c r="L8" s="42"/>
      <c r="M8" s="42"/>
      <c r="N8" s="110"/>
    </row>
    <row r="9" spans="1:25" s="2" customFormat="1" ht="19.5" customHeight="1" x14ac:dyDescent="0.2">
      <c r="A9" s="224"/>
      <c r="B9" s="225" t="s">
        <v>69</v>
      </c>
      <c r="C9" s="211"/>
      <c r="D9" s="212">
        <f>+D10+D13+D15+D20+D24</f>
        <v>286975935112.76001</v>
      </c>
      <c r="E9" s="212">
        <f>+E10+E13+E15+E20+E24</f>
        <v>243170033252.34998</v>
      </c>
      <c r="F9" s="212">
        <f>+F10+F13+F15+F20+F24</f>
        <v>43805901860.409988</v>
      </c>
      <c r="G9" s="213">
        <f>+F9/E9</f>
        <v>0.18014514894995456</v>
      </c>
      <c r="H9" s="230"/>
      <c r="I9" s="225" t="s">
        <v>93</v>
      </c>
      <c r="J9" s="211"/>
      <c r="K9" s="212">
        <f>+K10+K18+K22+K25</f>
        <v>29280572155.709999</v>
      </c>
      <c r="L9" s="212">
        <f>+L10+L18+L22+L25</f>
        <v>24419808937.98</v>
      </c>
      <c r="M9" s="212">
        <f>+M10+M18+M22+M25</f>
        <v>4860763217.7300005</v>
      </c>
      <c r="N9" s="244">
        <f>+M9/L9</f>
        <v>0.19905001018128693</v>
      </c>
      <c r="P9" s="32">
        <f>+D9/D9*100</f>
        <v>100</v>
      </c>
      <c r="Q9" s="39" t="e">
        <f>+D9/#REF!*100</f>
        <v>#REF!</v>
      </c>
    </row>
    <row r="10" spans="1:25" s="2" customFormat="1" ht="26.25" customHeight="1" x14ac:dyDescent="0.2">
      <c r="A10" s="226">
        <v>11</v>
      </c>
      <c r="B10" s="227" t="s">
        <v>70</v>
      </c>
      <c r="C10" s="211">
        <v>5</v>
      </c>
      <c r="D10" s="214">
        <f>SUM(D11:D12)</f>
        <v>117744894016.60001</v>
      </c>
      <c r="E10" s="214">
        <f>SUM(E11:E12)</f>
        <v>221595797855.75</v>
      </c>
      <c r="F10" s="214">
        <f>SUM(F11:F12)</f>
        <v>-103850903839.15001</v>
      </c>
      <c r="G10" s="215">
        <f>+F10/E10</f>
        <v>-0.46865014970524305</v>
      </c>
      <c r="H10" s="237">
        <v>24</v>
      </c>
      <c r="I10" s="233" t="s">
        <v>94</v>
      </c>
      <c r="J10" s="211">
        <v>22</v>
      </c>
      <c r="K10" s="214">
        <f>SUM(K11:K17)</f>
        <v>4025657792.4899998</v>
      </c>
      <c r="L10" s="214">
        <f>SUM(L11:L17)</f>
        <v>3512678253.3199997</v>
      </c>
      <c r="M10" s="214">
        <f t="shared" ref="M10" si="0">SUM(M11:M17)</f>
        <v>512979539.17000008</v>
      </c>
      <c r="N10" s="245">
        <f t="shared" ref="N10:N14" si="1">+M10/L10</f>
        <v>0.14603658581174028</v>
      </c>
    </row>
    <row r="11" spans="1:25" s="2" customFormat="1" ht="24.75" customHeight="1" x14ac:dyDescent="0.2">
      <c r="A11" s="224">
        <v>1110</v>
      </c>
      <c r="B11" s="228" t="s">
        <v>71</v>
      </c>
      <c r="C11" s="229" t="s">
        <v>211</v>
      </c>
      <c r="D11" s="209">
        <v>117577127591.25</v>
      </c>
      <c r="E11" s="209">
        <v>221314187087.20001</v>
      </c>
      <c r="F11" s="209">
        <f>+D11-E11</f>
        <v>-103737059495.95001</v>
      </c>
      <c r="G11" s="216">
        <f>+F11/E11</f>
        <v>-0.46873208112535764</v>
      </c>
      <c r="H11" s="246">
        <v>2401</v>
      </c>
      <c r="I11" s="228" t="s">
        <v>95</v>
      </c>
      <c r="J11" s="229" t="s">
        <v>237</v>
      </c>
      <c r="K11" s="209">
        <v>1003475818.27</v>
      </c>
      <c r="L11" s="209">
        <v>1082348460.8699999</v>
      </c>
      <c r="M11" s="217">
        <f>+K11-L11</f>
        <v>-78872642.599999905</v>
      </c>
      <c r="N11" s="247">
        <f t="shared" si="1"/>
        <v>-7.2871764918112855E-2</v>
      </c>
    </row>
    <row r="12" spans="1:25" s="2" customFormat="1" ht="24.75" customHeight="1" x14ac:dyDescent="0.2">
      <c r="A12" s="224">
        <v>1133</v>
      </c>
      <c r="B12" s="230" t="s">
        <v>72</v>
      </c>
      <c r="C12" s="229" t="s">
        <v>212</v>
      </c>
      <c r="D12" s="209">
        <v>167766425.34999999</v>
      </c>
      <c r="E12" s="209">
        <v>281610768.55000001</v>
      </c>
      <c r="F12" s="209">
        <f>+D12-E12</f>
        <v>-113844343.20000002</v>
      </c>
      <c r="G12" s="216">
        <f>+F12/E12</f>
        <v>-0.40426132774033796</v>
      </c>
      <c r="H12" s="246">
        <v>2407</v>
      </c>
      <c r="I12" s="280" t="s">
        <v>96</v>
      </c>
      <c r="J12" s="281" t="s">
        <v>260</v>
      </c>
      <c r="K12" s="221">
        <v>317922959</v>
      </c>
      <c r="L12" s="221">
        <v>340190712</v>
      </c>
      <c r="M12" s="217">
        <f t="shared" ref="M12:M14" si="2">+K12-L12</f>
        <v>-22267753</v>
      </c>
      <c r="N12" s="247">
        <f t="shared" si="1"/>
        <v>-6.545667537213655E-2</v>
      </c>
      <c r="P12" s="11">
        <f>+D10/$D$9*100</f>
        <v>41.02953579377138</v>
      </c>
      <c r="S12" s="11" t="e">
        <f>+K10/$K$36*100</f>
        <v>#DIV/0!</v>
      </c>
    </row>
    <row r="13" spans="1:25" s="2" customFormat="1" ht="25.5" customHeight="1" x14ac:dyDescent="0.2">
      <c r="A13" s="226">
        <v>12</v>
      </c>
      <c r="B13" s="227" t="s">
        <v>201</v>
      </c>
      <c r="C13" s="229">
        <v>6</v>
      </c>
      <c r="D13" s="214">
        <f>+D14</f>
        <v>164574924053</v>
      </c>
      <c r="E13" s="214">
        <f t="shared" ref="E13:F13" si="3">+E14</f>
        <v>0</v>
      </c>
      <c r="F13" s="214">
        <f t="shared" si="3"/>
        <v>164574924053</v>
      </c>
      <c r="G13" s="218" t="s">
        <v>6</v>
      </c>
      <c r="H13" s="246">
        <v>2424</v>
      </c>
      <c r="I13" s="280" t="s">
        <v>97</v>
      </c>
      <c r="J13" s="281" t="s">
        <v>261</v>
      </c>
      <c r="K13" s="221">
        <v>1751647754.9200001</v>
      </c>
      <c r="L13" s="221">
        <v>713180876</v>
      </c>
      <c r="M13" s="217">
        <f t="shared" si="2"/>
        <v>1038466878.9200001</v>
      </c>
      <c r="N13" s="247">
        <f t="shared" si="1"/>
        <v>1.4561058966477392</v>
      </c>
      <c r="P13" s="11">
        <f>+D18/$D$9*100</f>
        <v>0</v>
      </c>
      <c r="R13" s="11">
        <f>+K11/$K$10*100</f>
        <v>24.927002492412988</v>
      </c>
      <c r="S13" s="11"/>
    </row>
    <row r="14" spans="1:25" s="2" customFormat="1" ht="33.75" x14ac:dyDescent="0.2">
      <c r="A14" s="231">
        <v>1223</v>
      </c>
      <c r="B14" s="232" t="s">
        <v>200</v>
      </c>
      <c r="C14" s="229" t="s">
        <v>213</v>
      </c>
      <c r="D14" s="209">
        <v>164574924053</v>
      </c>
      <c r="E14" s="209">
        <v>0</v>
      </c>
      <c r="F14" s="217">
        <f>+D14-E14</f>
        <v>164574924053</v>
      </c>
      <c r="G14" s="219" t="s">
        <v>6</v>
      </c>
      <c r="H14" s="246">
        <v>2436</v>
      </c>
      <c r="I14" s="280" t="s">
        <v>98</v>
      </c>
      <c r="J14" s="281" t="s">
        <v>262</v>
      </c>
      <c r="K14" s="221">
        <v>695633558.90999997</v>
      </c>
      <c r="L14" s="221">
        <v>657363677</v>
      </c>
      <c r="M14" s="217">
        <f t="shared" si="2"/>
        <v>38269881.909999967</v>
      </c>
      <c r="N14" s="247">
        <f t="shared" si="1"/>
        <v>5.8217214076463138E-2</v>
      </c>
      <c r="P14" s="11"/>
      <c r="R14" s="11"/>
      <c r="S14" s="11"/>
      <c r="Y14" s="12"/>
    </row>
    <row r="15" spans="1:25" s="2" customFormat="1" ht="22.5" x14ac:dyDescent="0.2">
      <c r="A15" s="226">
        <v>13</v>
      </c>
      <c r="B15" s="233" t="s">
        <v>73</v>
      </c>
      <c r="C15" s="211">
        <v>7</v>
      </c>
      <c r="D15" s="214">
        <f>SUM(D16:D19)</f>
        <v>3187500586</v>
      </c>
      <c r="E15" s="214">
        <f>SUM(E16:E19)</f>
        <v>20126649071.799999</v>
      </c>
      <c r="F15" s="214">
        <f>SUM(F16:F19)</f>
        <v>-16939148485.799999</v>
      </c>
      <c r="G15" s="215">
        <f>+F15/E15</f>
        <v>-0.84162785495842451</v>
      </c>
      <c r="H15" s="246">
        <v>2440</v>
      </c>
      <c r="I15" s="280" t="s">
        <v>99</v>
      </c>
      <c r="J15" s="281" t="s">
        <v>238</v>
      </c>
      <c r="K15" s="221">
        <v>117913921</v>
      </c>
      <c r="L15" s="221">
        <v>136458613</v>
      </c>
      <c r="M15" s="217">
        <f t="shared" ref="M15:M16" si="4">+K15-L15</f>
        <v>-18544692</v>
      </c>
      <c r="N15" s="247">
        <f>+M15/L15</f>
        <v>-0.13589975445522079</v>
      </c>
      <c r="P15" s="11"/>
      <c r="R15" s="11">
        <f>+K12/$K$10*100</f>
        <v>7.8974164071545268</v>
      </c>
      <c r="S15" s="11"/>
    </row>
    <row r="16" spans="1:25" s="2" customFormat="1" ht="16.5" customHeight="1" x14ac:dyDescent="0.2">
      <c r="A16" s="234">
        <v>1316</v>
      </c>
      <c r="B16" s="228" t="s">
        <v>7</v>
      </c>
      <c r="C16" s="229" t="s">
        <v>265</v>
      </c>
      <c r="D16" s="220">
        <v>27300</v>
      </c>
      <c r="E16" s="209">
        <v>251000</v>
      </c>
      <c r="F16" s="217">
        <f t="shared" ref="F16:F19" si="5">+D16-E16</f>
        <v>-223700</v>
      </c>
      <c r="G16" s="216">
        <f>+F16/E16</f>
        <v>-0.89123505976095618</v>
      </c>
      <c r="H16" s="230">
        <v>2490</v>
      </c>
      <c r="I16" s="282" t="s">
        <v>100</v>
      </c>
      <c r="J16" s="281" t="s">
        <v>263</v>
      </c>
      <c r="K16" s="221">
        <v>139063780.38999999</v>
      </c>
      <c r="L16" s="221">
        <v>583135914.45000005</v>
      </c>
      <c r="M16" s="217">
        <f t="shared" si="4"/>
        <v>-444072134.06000006</v>
      </c>
      <c r="N16" s="247">
        <f t="shared" ref="N16" si="6">+M16/L16</f>
        <v>-0.76152423998586738</v>
      </c>
      <c r="P16" s="11">
        <f>+D21/$D$9*100</f>
        <v>5.4772413240238647E-2</v>
      </c>
      <c r="R16" s="11">
        <f>+K13/$K$10*100</f>
        <v>43.512087842830503</v>
      </c>
      <c r="S16" s="11"/>
    </row>
    <row r="17" spans="1:30" s="2" customFormat="1" ht="15.75" customHeight="1" x14ac:dyDescent="0.2">
      <c r="A17" s="235">
        <v>1317</v>
      </c>
      <c r="B17" s="228" t="s">
        <v>74</v>
      </c>
      <c r="C17" s="229" t="s">
        <v>266</v>
      </c>
      <c r="D17" s="220">
        <v>3187068537</v>
      </c>
      <c r="E17" s="209">
        <f>10340132711.8+2454695821</f>
        <v>12794828532.799999</v>
      </c>
      <c r="F17" s="217">
        <f t="shared" si="5"/>
        <v>-9607759995.7999992</v>
      </c>
      <c r="G17" s="216">
        <f t="shared" ref="G17:G25" si="7">+F17/E17</f>
        <v>-0.75090963283878043</v>
      </c>
      <c r="H17" s="230"/>
      <c r="I17" s="230"/>
      <c r="J17" s="229"/>
      <c r="K17" s="209"/>
      <c r="L17" s="209"/>
      <c r="M17" s="217"/>
      <c r="N17" s="247"/>
      <c r="P17" s="11">
        <f>+D22/$D$21*100</f>
        <v>333.37517856472903</v>
      </c>
      <c r="R17" s="11">
        <f>+K15/$K$10*100</f>
        <v>2.9290597233568234</v>
      </c>
      <c r="S17" s="11"/>
    </row>
    <row r="18" spans="1:30" s="2" customFormat="1" ht="22.5" customHeight="1" x14ac:dyDescent="0.2">
      <c r="A18" s="235">
        <v>1337</v>
      </c>
      <c r="B18" s="228" t="s">
        <v>161</v>
      </c>
      <c r="C18" s="229" t="s">
        <v>267</v>
      </c>
      <c r="D18" s="209">
        <v>0</v>
      </c>
      <c r="E18" s="209">
        <v>7330145241</v>
      </c>
      <c r="F18" s="217">
        <f t="shared" si="5"/>
        <v>-7330145241</v>
      </c>
      <c r="G18" s="216">
        <f t="shared" si="7"/>
        <v>-1</v>
      </c>
      <c r="H18" s="237">
        <v>25</v>
      </c>
      <c r="I18" s="227" t="s">
        <v>101</v>
      </c>
      <c r="J18" s="211">
        <v>23</v>
      </c>
      <c r="K18" s="214">
        <f>+K20</f>
        <v>10475403191.190001</v>
      </c>
      <c r="L18" s="214">
        <f>+L20</f>
        <v>5893293746.7299995</v>
      </c>
      <c r="M18" s="214">
        <f>+M20</f>
        <v>4582109444.460001</v>
      </c>
      <c r="N18" s="245">
        <f>+M18/L18</f>
        <v>0.77751248136960205</v>
      </c>
      <c r="P18" s="11"/>
      <c r="R18" s="11">
        <f>+K16/$K$10*100</f>
        <v>3.4544362079019271</v>
      </c>
      <c r="S18" s="11" t="e">
        <f>+K16/$K$36*100</f>
        <v>#DIV/0!</v>
      </c>
    </row>
    <row r="19" spans="1:30" s="2" customFormat="1" ht="18" customHeight="1" x14ac:dyDescent="0.2">
      <c r="A19" s="235">
        <v>1384</v>
      </c>
      <c r="B19" s="228" t="s">
        <v>75</v>
      </c>
      <c r="C19" s="229" t="s">
        <v>268</v>
      </c>
      <c r="D19" s="209">
        <v>404749</v>
      </c>
      <c r="E19" s="209">
        <v>1424298</v>
      </c>
      <c r="F19" s="217">
        <f t="shared" si="5"/>
        <v>-1019549</v>
      </c>
      <c r="G19" s="216">
        <f t="shared" si="7"/>
        <v>-0.71582562076194733</v>
      </c>
      <c r="H19" s="237"/>
      <c r="I19" s="227"/>
      <c r="J19" s="211"/>
      <c r="K19" s="214"/>
      <c r="L19" s="214"/>
      <c r="M19" s="214"/>
      <c r="N19" s="245"/>
      <c r="R19" s="11" t="e">
        <f>+#REF!/$K$10*100</f>
        <v>#REF!</v>
      </c>
      <c r="S19" s="11"/>
    </row>
    <row r="20" spans="1:30" s="2" customFormat="1" ht="32.25" customHeight="1" x14ac:dyDescent="0.2">
      <c r="A20" s="226">
        <v>15</v>
      </c>
      <c r="B20" s="233" t="s">
        <v>77</v>
      </c>
      <c r="C20" s="211">
        <v>9</v>
      </c>
      <c r="D20" s="214">
        <f>SUM(D21:D23)</f>
        <v>683293642.56999993</v>
      </c>
      <c r="E20" s="214">
        <f>SUM(E21:E23)</f>
        <v>636544165.0200001</v>
      </c>
      <c r="F20" s="214">
        <f>SUM(F21:F23)</f>
        <v>46749477.549999982</v>
      </c>
      <c r="G20" s="215">
        <f t="shared" si="7"/>
        <v>7.3442629936810624E-2</v>
      </c>
      <c r="H20" s="239">
        <v>2511</v>
      </c>
      <c r="I20" s="228" t="s">
        <v>102</v>
      </c>
      <c r="J20" s="229" t="s">
        <v>222</v>
      </c>
      <c r="K20" s="209">
        <v>10475403191.190001</v>
      </c>
      <c r="L20" s="209">
        <v>5893293746.7299995</v>
      </c>
      <c r="M20" s="217">
        <f>+K20-L20</f>
        <v>4582109444.460001</v>
      </c>
      <c r="N20" s="247">
        <f>+M20/L20</f>
        <v>0.77751248136960205</v>
      </c>
      <c r="R20" s="11"/>
      <c r="S20" s="11"/>
    </row>
    <row r="21" spans="1:30" s="2" customFormat="1" ht="17.25" customHeight="1" x14ac:dyDescent="0.2">
      <c r="A21" s="235">
        <v>1510</v>
      </c>
      <c r="B21" s="228" t="s">
        <v>78</v>
      </c>
      <c r="C21" s="229" t="s">
        <v>216</v>
      </c>
      <c r="D21" s="209">
        <v>157183645.08000001</v>
      </c>
      <c r="E21" s="209">
        <v>127380665.26000001</v>
      </c>
      <c r="F21" s="217">
        <f>+D21-E21</f>
        <v>29802979.820000008</v>
      </c>
      <c r="G21" s="216">
        <f t="shared" si="7"/>
        <v>0.23396784558447992</v>
      </c>
      <c r="H21" s="230"/>
      <c r="I21" s="230"/>
      <c r="J21" s="229"/>
      <c r="K21" s="217"/>
      <c r="L21" s="217"/>
      <c r="M21" s="217"/>
      <c r="N21" s="248"/>
      <c r="S21" s="11"/>
      <c r="X21" s="46"/>
      <c r="Y21" s="12"/>
      <c r="AD21" s="126"/>
    </row>
    <row r="22" spans="1:30" s="2" customFormat="1" ht="15.75" customHeight="1" x14ac:dyDescent="0.2">
      <c r="A22" s="235">
        <v>1514</v>
      </c>
      <c r="B22" s="228" t="s">
        <v>79</v>
      </c>
      <c r="C22" s="229" t="s">
        <v>269</v>
      </c>
      <c r="D22" s="209">
        <v>524011257.45999998</v>
      </c>
      <c r="E22" s="209">
        <v>506515477.68000001</v>
      </c>
      <c r="F22" s="217">
        <f>+D22-E22</f>
        <v>17495779.779999971</v>
      </c>
      <c r="G22" s="216">
        <f t="shared" si="7"/>
        <v>3.4541451448110015E-2</v>
      </c>
      <c r="H22" s="237">
        <v>27</v>
      </c>
      <c r="I22" s="233" t="s">
        <v>103</v>
      </c>
      <c r="J22" s="211">
        <v>24</v>
      </c>
      <c r="K22" s="214">
        <f>SUM(K23:K24)</f>
        <v>367196310</v>
      </c>
      <c r="L22" s="214">
        <f>SUM(L23:L24)</f>
        <v>199590594</v>
      </c>
      <c r="M22" s="214">
        <f>SUM(M23:M24)</f>
        <v>167605716</v>
      </c>
      <c r="N22" s="245">
        <f>+M22/L22</f>
        <v>0.83974756846507503</v>
      </c>
      <c r="P22" s="11">
        <f>+D23/$D$21*100</f>
        <v>1.3352152693315054</v>
      </c>
      <c r="R22" s="11"/>
      <c r="S22" s="11"/>
    </row>
    <row r="23" spans="1:30" s="2" customFormat="1" ht="16.5" customHeight="1" x14ac:dyDescent="0.2">
      <c r="A23" s="224">
        <v>1530</v>
      </c>
      <c r="B23" s="230" t="s">
        <v>9</v>
      </c>
      <c r="C23" s="229" t="s">
        <v>270</v>
      </c>
      <c r="D23" s="209">
        <v>2098740.0299999998</v>
      </c>
      <c r="E23" s="209">
        <v>2648022.08</v>
      </c>
      <c r="F23" s="217">
        <f t="shared" ref="F23" si="8">+D23-E23</f>
        <v>-549282.05000000028</v>
      </c>
      <c r="G23" s="216">
        <f t="shared" si="7"/>
        <v>-0.20743106870166289</v>
      </c>
      <c r="H23" s="246">
        <v>2701</v>
      </c>
      <c r="I23" s="228" t="s">
        <v>28</v>
      </c>
      <c r="J23" s="229" t="s">
        <v>223</v>
      </c>
      <c r="K23" s="209">
        <v>367196310</v>
      </c>
      <c r="L23" s="209">
        <v>199590594</v>
      </c>
      <c r="M23" s="217">
        <f>+K23-L23</f>
        <v>167605716</v>
      </c>
      <c r="N23" s="247">
        <f>+M23/L23</f>
        <v>0.83974756846507503</v>
      </c>
      <c r="P23" s="11">
        <f>+D24/$D$21*100</f>
        <v>499.62120053285622</v>
      </c>
      <c r="R23" s="11"/>
      <c r="S23" s="11"/>
    </row>
    <row r="24" spans="1:30" s="2" customFormat="1" ht="18" customHeight="1" x14ac:dyDescent="0.2">
      <c r="A24" s="226">
        <v>19</v>
      </c>
      <c r="B24" s="233" t="s">
        <v>11</v>
      </c>
      <c r="C24" s="211">
        <v>16</v>
      </c>
      <c r="D24" s="214">
        <f>SUM(D25:D27)</f>
        <v>785322814.58999991</v>
      </c>
      <c r="E24" s="214">
        <f>SUM(E25:E27)</f>
        <v>811042159.77999997</v>
      </c>
      <c r="F24" s="214">
        <f>SUM(F25:F27)</f>
        <v>-25719345.189999998</v>
      </c>
      <c r="G24" s="215">
        <f t="shared" si="7"/>
        <v>-3.171147748592567E-2</v>
      </c>
      <c r="H24" s="249"/>
      <c r="I24" s="239"/>
      <c r="J24" s="236"/>
      <c r="K24" s="217"/>
      <c r="L24" s="217"/>
      <c r="M24" s="217"/>
      <c r="N24" s="247"/>
      <c r="P24" s="11"/>
      <c r="R24" s="11"/>
      <c r="S24" s="11" t="e">
        <f>+#REF!/$K$36*100</f>
        <v>#REF!</v>
      </c>
      <c r="Y24" s="12"/>
    </row>
    <row r="25" spans="1:30" s="2" customFormat="1" ht="18.75" customHeight="1" x14ac:dyDescent="0.2">
      <c r="A25" s="235">
        <v>1906</v>
      </c>
      <c r="B25" s="228" t="s">
        <v>8</v>
      </c>
      <c r="C25" s="229" t="s">
        <v>271</v>
      </c>
      <c r="D25" s="209">
        <v>381132140.19</v>
      </c>
      <c r="E25" s="209">
        <v>811042159.77999997</v>
      </c>
      <c r="F25" s="217">
        <f>+D25-E25</f>
        <v>-429910019.58999997</v>
      </c>
      <c r="G25" s="216">
        <f t="shared" si="7"/>
        <v>-0.53007111209436464</v>
      </c>
      <c r="H25" s="237">
        <v>29</v>
      </c>
      <c r="I25" s="233" t="s">
        <v>10</v>
      </c>
      <c r="J25" s="211">
        <v>25</v>
      </c>
      <c r="K25" s="214">
        <f>SUM(K26:K28)</f>
        <v>14412314862.029999</v>
      </c>
      <c r="L25" s="214">
        <f t="shared" ref="L25:M25" si="9">SUM(L26:L28)</f>
        <v>14814246343.93</v>
      </c>
      <c r="M25" s="214">
        <f t="shared" si="9"/>
        <v>-401931481.90000057</v>
      </c>
      <c r="N25" s="245">
        <f>+M25/L25</f>
        <v>-2.7131416109108263E-2</v>
      </c>
      <c r="P25" s="11" t="e">
        <f>+#REF!/$D$9*100</f>
        <v>#REF!</v>
      </c>
      <c r="R25" s="11"/>
      <c r="S25" s="11"/>
      <c r="Z25" s="12"/>
    </row>
    <row r="26" spans="1:30" s="2" customFormat="1" ht="33.75" x14ac:dyDescent="0.2">
      <c r="A26" s="235">
        <v>1907</v>
      </c>
      <c r="B26" s="228" t="s">
        <v>205</v>
      </c>
      <c r="C26" s="229" t="s">
        <v>272</v>
      </c>
      <c r="D26" s="209">
        <v>1647574</v>
      </c>
      <c r="E26" s="209">
        <v>0</v>
      </c>
      <c r="F26" s="217">
        <f>+D26-E26</f>
        <v>1647574</v>
      </c>
      <c r="G26" s="219" t="s">
        <v>6</v>
      </c>
      <c r="H26" s="246">
        <v>2902</v>
      </c>
      <c r="I26" s="280" t="s">
        <v>104</v>
      </c>
      <c r="J26" s="281" t="s">
        <v>215</v>
      </c>
      <c r="K26" s="221">
        <v>4533383101.6499996</v>
      </c>
      <c r="L26" s="221">
        <v>8154958627.3400002</v>
      </c>
      <c r="M26" s="217">
        <f>+K26-L26</f>
        <v>-3621575525.6900005</v>
      </c>
      <c r="N26" s="247">
        <f>+M26/L26</f>
        <v>-0.44409489872191943</v>
      </c>
      <c r="R26" s="11"/>
      <c r="S26" s="11"/>
    </row>
    <row r="27" spans="1:30" s="2" customFormat="1" ht="22.5" x14ac:dyDescent="0.2">
      <c r="A27" s="235">
        <v>1908</v>
      </c>
      <c r="B27" s="228" t="s">
        <v>202</v>
      </c>
      <c r="C27" s="229" t="s">
        <v>273</v>
      </c>
      <c r="D27" s="209">
        <v>402543100.39999998</v>
      </c>
      <c r="E27" s="209">
        <v>0</v>
      </c>
      <c r="F27" s="217">
        <f>+D27-E27</f>
        <v>402543100.39999998</v>
      </c>
      <c r="G27" s="219" t="s">
        <v>6</v>
      </c>
      <c r="H27" s="230">
        <v>2910</v>
      </c>
      <c r="I27" s="280" t="s">
        <v>12</v>
      </c>
      <c r="J27" s="281" t="s">
        <v>236</v>
      </c>
      <c r="K27" s="221">
        <v>3842928373</v>
      </c>
      <c r="L27" s="221">
        <f>2670824706.7+2454695821</f>
        <v>5125520527.6999998</v>
      </c>
      <c r="M27" s="217">
        <f>+K27-L27</f>
        <v>-1282592154.6999998</v>
      </c>
      <c r="N27" s="247">
        <f>+M27/L27</f>
        <v>-0.2502364682315581</v>
      </c>
      <c r="R27" s="11"/>
      <c r="S27" s="11"/>
    </row>
    <row r="28" spans="1:30" s="2" customFormat="1" ht="15" customHeight="1" x14ac:dyDescent="0.2">
      <c r="A28" s="235"/>
      <c r="B28" s="228"/>
      <c r="C28" s="229"/>
      <c r="D28" s="209"/>
      <c r="E28" s="209"/>
      <c r="F28" s="217"/>
      <c r="G28" s="216"/>
      <c r="H28" s="230" t="s">
        <v>155</v>
      </c>
      <c r="I28" s="280" t="s">
        <v>156</v>
      </c>
      <c r="J28" s="281" t="s">
        <v>264</v>
      </c>
      <c r="K28" s="221">
        <v>6036003387.3800001</v>
      </c>
      <c r="L28" s="221">
        <v>1533767188.8900001</v>
      </c>
      <c r="M28" s="217">
        <f>+K28-L28</f>
        <v>4502236198.4899998</v>
      </c>
      <c r="N28" s="247">
        <f>+M28/L28</f>
        <v>2.935410426759947</v>
      </c>
      <c r="R28" s="11"/>
      <c r="S28" s="11" t="e">
        <f>+K25/$K$36*100</f>
        <v>#DIV/0!</v>
      </c>
    </row>
    <row r="29" spans="1:30" s="2" customFormat="1" ht="18.75" customHeight="1" x14ac:dyDescent="0.2">
      <c r="A29" s="224"/>
      <c r="B29" s="225" t="s">
        <v>80</v>
      </c>
      <c r="C29" s="211"/>
      <c r="D29" s="212">
        <f>D30+D33+D48+D50</f>
        <v>341726170738.77002</v>
      </c>
      <c r="E29" s="212">
        <f>E30+E33+E48+E50</f>
        <v>334089132879.03998</v>
      </c>
      <c r="F29" s="212">
        <f>F30+F33+F48+F50</f>
        <v>7637037859.7299967</v>
      </c>
      <c r="G29" s="213">
        <f>+F29/E29</f>
        <v>2.2859282473264571E-2</v>
      </c>
      <c r="H29" s="230"/>
      <c r="I29" s="280"/>
      <c r="J29" s="281"/>
      <c r="K29" s="221"/>
      <c r="L29" s="221"/>
      <c r="M29" s="217"/>
      <c r="N29" s="247"/>
      <c r="R29" s="11"/>
      <c r="S29" s="11"/>
    </row>
    <row r="30" spans="1:30" s="2" customFormat="1" ht="21" customHeight="1" x14ac:dyDescent="0.2">
      <c r="A30" s="226">
        <v>13</v>
      </c>
      <c r="B30" s="233" t="s">
        <v>73</v>
      </c>
      <c r="C30" s="211">
        <v>7</v>
      </c>
      <c r="D30" s="214">
        <f>SUM(D31:D32)</f>
        <v>95988025</v>
      </c>
      <c r="E30" s="214">
        <f>SUM(E31:E32)</f>
        <v>721836.73999999464</v>
      </c>
      <c r="F30" s="214">
        <f>SUM(F31:F32)</f>
        <v>95266188.260000005</v>
      </c>
      <c r="G30" s="215">
        <f>+F30/E30</f>
        <v>131.97747216358192</v>
      </c>
      <c r="H30" s="230"/>
      <c r="I30" s="225"/>
      <c r="J30" s="211"/>
      <c r="K30" s="214"/>
      <c r="L30" s="214"/>
      <c r="M30" s="214"/>
      <c r="N30" s="245"/>
      <c r="P30" s="11"/>
      <c r="R30" s="11"/>
      <c r="S30" s="11"/>
    </row>
    <row r="31" spans="1:30" s="2" customFormat="1" ht="22.5" customHeight="1" x14ac:dyDescent="0.2">
      <c r="A31" s="235">
        <v>1385</v>
      </c>
      <c r="B31" s="228" t="s">
        <v>158</v>
      </c>
      <c r="C31" s="229" t="s">
        <v>274</v>
      </c>
      <c r="D31" s="209">
        <v>127550851</v>
      </c>
      <c r="E31" s="209">
        <v>100426376</v>
      </c>
      <c r="F31" s="217">
        <f t="shared" ref="F31:F32" si="10">+D31-E31</f>
        <v>27124475</v>
      </c>
      <c r="G31" s="216">
        <f t="shared" ref="G31:G32" si="11">+F31/E31</f>
        <v>0.27009313768327159</v>
      </c>
      <c r="H31" s="230"/>
      <c r="I31" s="225" t="s">
        <v>105</v>
      </c>
      <c r="J31" s="250"/>
      <c r="K31" s="212">
        <f>+K33+K36</f>
        <v>322001995.24000001</v>
      </c>
      <c r="L31" s="212">
        <f>+L33+L36</f>
        <v>441581678.38999999</v>
      </c>
      <c r="M31" s="212">
        <f>+M33+M36</f>
        <v>-119579683.14999998</v>
      </c>
      <c r="N31" s="244">
        <f>+M31/L31</f>
        <v>-0.27079856117669027</v>
      </c>
      <c r="P31" s="11" t="e">
        <f>+#REF!/$D$9*100</f>
        <v>#REF!</v>
      </c>
      <c r="R31" s="11"/>
      <c r="S31" s="11"/>
    </row>
    <row r="32" spans="1:30" s="2" customFormat="1" ht="22.5" x14ac:dyDescent="0.2">
      <c r="A32" s="235">
        <v>1386</v>
      </c>
      <c r="B32" s="228" t="s">
        <v>76</v>
      </c>
      <c r="C32" s="229" t="s">
        <v>214</v>
      </c>
      <c r="D32" s="209">
        <v>-31562826</v>
      </c>
      <c r="E32" s="209">
        <v>-99704539.260000005</v>
      </c>
      <c r="F32" s="217">
        <f t="shared" si="10"/>
        <v>68141713.260000005</v>
      </c>
      <c r="G32" s="216">
        <f t="shared" si="11"/>
        <v>-0.6834364189007136</v>
      </c>
      <c r="H32" s="246"/>
      <c r="I32" s="228"/>
      <c r="J32" s="229"/>
      <c r="K32" s="217"/>
      <c r="L32" s="217"/>
      <c r="M32" s="217"/>
      <c r="N32" s="247"/>
      <c r="P32" s="11"/>
      <c r="S32" s="11"/>
    </row>
    <row r="33" spans="1:26" s="2" customFormat="1" ht="22.5" x14ac:dyDescent="0.2">
      <c r="A33" s="226">
        <v>16</v>
      </c>
      <c r="B33" s="237" t="s">
        <v>81</v>
      </c>
      <c r="C33" s="211">
        <v>10</v>
      </c>
      <c r="D33" s="214">
        <f>SUM(D34:D47)</f>
        <v>339712840148.52002</v>
      </c>
      <c r="E33" s="214">
        <f>SUM(E34:E47)</f>
        <v>332185944208.54999</v>
      </c>
      <c r="F33" s="214">
        <f>SUM(F34:F47)</f>
        <v>7526895939.9699965</v>
      </c>
      <c r="G33" s="215">
        <f>+F33/E33</f>
        <v>2.2658682798585024E-2</v>
      </c>
      <c r="H33" s="237">
        <v>25</v>
      </c>
      <c r="I33" s="251" t="s">
        <v>101</v>
      </c>
      <c r="J33" s="211">
        <v>23</v>
      </c>
      <c r="K33" s="214">
        <f>SUM(K34)</f>
        <v>322001995.24000001</v>
      </c>
      <c r="L33" s="214">
        <f t="shared" ref="L33:M33" si="12">SUM(L34)</f>
        <v>366236573.38999999</v>
      </c>
      <c r="M33" s="214">
        <f t="shared" si="12"/>
        <v>-44234578.149999976</v>
      </c>
      <c r="N33" s="245">
        <f>+M33/L33</f>
        <v>-0.12078143299712238</v>
      </c>
      <c r="R33" s="11"/>
    </row>
    <row r="34" spans="1:26" s="2" customFormat="1" ht="21.75" customHeight="1" x14ac:dyDescent="0.2">
      <c r="A34" s="235">
        <v>1605</v>
      </c>
      <c r="B34" s="230" t="s">
        <v>14</v>
      </c>
      <c r="C34" s="229" t="s">
        <v>217</v>
      </c>
      <c r="D34" s="209">
        <v>272742479086.28</v>
      </c>
      <c r="E34" s="217">
        <v>268587060279.28</v>
      </c>
      <c r="F34" s="217">
        <f t="shared" ref="F34:F47" si="13">+D34-E34</f>
        <v>4155418807</v>
      </c>
      <c r="G34" s="216">
        <f t="shared" ref="G34:G44" si="14">+F34/E34</f>
        <v>1.5471403583922273E-2</v>
      </c>
      <c r="H34" s="246">
        <v>2512</v>
      </c>
      <c r="I34" s="228" t="s">
        <v>106</v>
      </c>
      <c r="J34" s="229" t="s">
        <v>239</v>
      </c>
      <c r="K34" s="209">
        <v>322001995.24000001</v>
      </c>
      <c r="L34" s="209">
        <v>366236573.38999999</v>
      </c>
      <c r="M34" s="217">
        <f>+K34-L34</f>
        <v>-44234578.149999976</v>
      </c>
      <c r="N34" s="247">
        <f>+M34/L34</f>
        <v>-0.12078143299712238</v>
      </c>
      <c r="P34" s="11"/>
      <c r="S34" s="11"/>
    </row>
    <row r="35" spans="1:26" s="2" customFormat="1" ht="16.5" customHeight="1" x14ac:dyDescent="0.2">
      <c r="A35" s="235">
        <v>1615</v>
      </c>
      <c r="B35" s="228" t="s">
        <v>82</v>
      </c>
      <c r="C35" s="238" t="s">
        <v>218</v>
      </c>
      <c r="D35" s="209">
        <v>0</v>
      </c>
      <c r="E35" s="217">
        <f>249733128.78</f>
        <v>249733128.78</v>
      </c>
      <c r="F35" s="217">
        <f t="shared" si="13"/>
        <v>-249733128.78</v>
      </c>
      <c r="G35" s="216">
        <f t="shared" si="14"/>
        <v>-1</v>
      </c>
      <c r="H35" s="252"/>
      <c r="I35" s="228"/>
      <c r="J35" s="229"/>
      <c r="K35" s="217"/>
      <c r="L35" s="217"/>
      <c r="M35" s="217"/>
      <c r="N35" s="247"/>
      <c r="R35" s="11" t="e">
        <f>+#REF!/$K$36*100</f>
        <v>#REF!</v>
      </c>
      <c r="S35" s="11"/>
    </row>
    <row r="36" spans="1:26" s="2" customFormat="1" ht="18" customHeight="1" x14ac:dyDescent="0.2">
      <c r="A36" s="235">
        <v>1635</v>
      </c>
      <c r="B36" s="228" t="s">
        <v>16</v>
      </c>
      <c r="C36" s="238" t="s">
        <v>219</v>
      </c>
      <c r="D36" s="217">
        <v>1662784795.5599999</v>
      </c>
      <c r="E36" s="217">
        <v>63237054.619999997</v>
      </c>
      <c r="F36" s="217">
        <f t="shared" si="13"/>
        <v>1599547740.9400001</v>
      </c>
      <c r="G36" s="216">
        <f t="shared" si="14"/>
        <v>25.294469366922581</v>
      </c>
      <c r="H36" s="237">
        <v>27</v>
      </c>
      <c r="I36" s="233" t="s">
        <v>103</v>
      </c>
      <c r="J36" s="211">
        <v>24</v>
      </c>
      <c r="K36" s="214">
        <f>+K37</f>
        <v>0</v>
      </c>
      <c r="L36" s="214">
        <f>+L37</f>
        <v>75345105</v>
      </c>
      <c r="M36" s="214">
        <f>SUM(M37:M38)</f>
        <v>-75345105</v>
      </c>
      <c r="N36" s="245">
        <f>+M36/L36</f>
        <v>-1</v>
      </c>
      <c r="R36" s="11"/>
      <c r="S36" s="11"/>
    </row>
    <row r="37" spans="1:26" s="2" customFormat="1" ht="21" customHeight="1" x14ac:dyDescent="0.2">
      <c r="A37" s="235">
        <v>1637</v>
      </c>
      <c r="B37" s="228" t="s">
        <v>83</v>
      </c>
      <c r="C37" s="238" t="s">
        <v>219</v>
      </c>
      <c r="D37" s="217">
        <v>803133922.35000002</v>
      </c>
      <c r="E37" s="217">
        <v>259308593.02000001</v>
      </c>
      <c r="F37" s="217">
        <f t="shared" si="13"/>
        <v>543825329.33000004</v>
      </c>
      <c r="G37" s="216">
        <f t="shared" si="14"/>
        <v>2.097212911444303</v>
      </c>
      <c r="H37" s="246">
        <v>2701</v>
      </c>
      <c r="I37" s="228" t="s">
        <v>28</v>
      </c>
      <c r="J37" s="229" t="s">
        <v>223</v>
      </c>
      <c r="K37" s="217">
        <v>0</v>
      </c>
      <c r="L37" s="217">
        <v>75345105</v>
      </c>
      <c r="M37" s="217">
        <f>+K37-L37</f>
        <v>-75345105</v>
      </c>
      <c r="N37" s="247">
        <f>+M37/L37</f>
        <v>-1</v>
      </c>
      <c r="R37" s="11"/>
      <c r="S37" s="11"/>
    </row>
    <row r="38" spans="1:26" s="2" customFormat="1" ht="15" customHeight="1" x14ac:dyDescent="0.2">
      <c r="A38" s="235">
        <v>1640</v>
      </c>
      <c r="B38" s="228" t="s">
        <v>17</v>
      </c>
      <c r="C38" s="229" t="s">
        <v>217</v>
      </c>
      <c r="D38" s="217">
        <v>62832290873.839996</v>
      </c>
      <c r="E38" s="217">
        <v>59024909680.839996</v>
      </c>
      <c r="F38" s="217">
        <f t="shared" si="13"/>
        <v>3807381193</v>
      </c>
      <c r="G38" s="216">
        <f t="shared" si="14"/>
        <v>6.4504650893788817E-2</v>
      </c>
      <c r="H38" s="230"/>
      <c r="I38" s="230"/>
      <c r="J38" s="229"/>
      <c r="K38" s="217"/>
      <c r="L38" s="217"/>
      <c r="M38" s="217"/>
      <c r="N38" s="247"/>
      <c r="P38" s="39" t="e">
        <f>+#REF!/#REF!*100</f>
        <v>#REF!</v>
      </c>
      <c r="R38" s="11"/>
      <c r="S38" s="11"/>
      <c r="Z38" s="12"/>
    </row>
    <row r="39" spans="1:26" s="2" customFormat="1" ht="18" customHeight="1" x14ac:dyDescent="0.2">
      <c r="A39" s="235">
        <v>1655</v>
      </c>
      <c r="B39" s="228" t="s">
        <v>19</v>
      </c>
      <c r="C39" s="238" t="s">
        <v>219</v>
      </c>
      <c r="D39" s="217">
        <v>2132091614.05</v>
      </c>
      <c r="E39" s="217">
        <v>2110487934.7</v>
      </c>
      <c r="F39" s="217">
        <f t="shared" si="13"/>
        <v>21603679.349999905</v>
      </c>
      <c r="G39" s="216">
        <f t="shared" si="14"/>
        <v>1.0236343451577612E-2</v>
      </c>
      <c r="H39" s="230"/>
      <c r="I39" s="225" t="s">
        <v>13</v>
      </c>
      <c r="J39" s="211"/>
      <c r="K39" s="212">
        <f>+K9+K31</f>
        <v>29602574150.950001</v>
      </c>
      <c r="L39" s="212">
        <f>+L9+L31</f>
        <v>24861390616.369999</v>
      </c>
      <c r="M39" s="212">
        <f>+M9+M31</f>
        <v>4741183534.5800009</v>
      </c>
      <c r="N39" s="244">
        <f>+M39/L39</f>
        <v>0.19070467970758503</v>
      </c>
      <c r="R39" s="11"/>
    </row>
    <row r="40" spans="1:26" s="2" customFormat="1" ht="19.5" customHeight="1" x14ac:dyDescent="0.2">
      <c r="A40" s="235">
        <v>1660</v>
      </c>
      <c r="B40" s="228" t="s">
        <v>84</v>
      </c>
      <c r="C40" s="238" t="s">
        <v>219</v>
      </c>
      <c r="D40" s="217">
        <v>2516215393.3899999</v>
      </c>
      <c r="E40" s="217">
        <v>2518029693.46</v>
      </c>
      <c r="F40" s="217">
        <f t="shared" si="13"/>
        <v>-1814300.0700001717</v>
      </c>
      <c r="G40" s="216">
        <f t="shared" si="14"/>
        <v>-7.2052369942753123E-4</v>
      </c>
      <c r="H40" s="230"/>
      <c r="I40" s="230"/>
      <c r="J40" s="229"/>
      <c r="K40" s="217"/>
      <c r="L40" s="217"/>
      <c r="M40" s="217"/>
      <c r="N40" s="247"/>
      <c r="P40" s="39" t="e">
        <f>+D34/#REF!*100</f>
        <v>#REF!</v>
      </c>
      <c r="R40" s="11"/>
      <c r="S40" s="11"/>
    </row>
    <row r="41" spans="1:26" s="2" customFormat="1" ht="21" customHeight="1" x14ac:dyDescent="0.2">
      <c r="A41" s="235">
        <v>1665</v>
      </c>
      <c r="B41" s="228" t="s">
        <v>85</v>
      </c>
      <c r="C41" s="238" t="s">
        <v>219</v>
      </c>
      <c r="D41" s="217">
        <v>1962531598.3599999</v>
      </c>
      <c r="E41" s="217">
        <v>1979488973.23</v>
      </c>
      <c r="F41" s="217">
        <f t="shared" si="13"/>
        <v>-16957374.870000124</v>
      </c>
      <c r="G41" s="216">
        <f t="shared" si="14"/>
        <v>-8.5665417182547842E-3</v>
      </c>
      <c r="H41" s="230"/>
      <c r="I41" s="225"/>
      <c r="J41" s="211"/>
      <c r="K41" s="212"/>
      <c r="L41" s="212"/>
      <c r="M41" s="212"/>
      <c r="N41" s="244"/>
      <c r="P41" s="11">
        <f>+D35/$D$34*100</f>
        <v>0</v>
      </c>
      <c r="R41" s="11"/>
      <c r="S41" s="11"/>
    </row>
    <row r="42" spans="1:26" s="2" customFormat="1" ht="24" customHeight="1" x14ac:dyDescent="0.2">
      <c r="A42" s="235">
        <v>1670</v>
      </c>
      <c r="B42" s="228" t="s">
        <v>86</v>
      </c>
      <c r="C42" s="238" t="s">
        <v>219</v>
      </c>
      <c r="D42" s="217">
        <v>12875811260.690001</v>
      </c>
      <c r="E42" s="217">
        <v>12860563385.709999</v>
      </c>
      <c r="F42" s="217">
        <f t="shared" si="13"/>
        <v>15247874.98000145</v>
      </c>
      <c r="G42" s="216">
        <f t="shared" si="14"/>
        <v>1.1856304053478798E-3</v>
      </c>
      <c r="H42" s="230"/>
      <c r="I42" s="225"/>
      <c r="J42" s="211"/>
      <c r="K42" s="209"/>
      <c r="L42" s="253"/>
      <c r="M42" s="253"/>
      <c r="N42" s="254"/>
      <c r="P42" s="11"/>
      <c r="R42" s="11"/>
      <c r="S42" s="11"/>
    </row>
    <row r="43" spans="1:26" s="2" customFormat="1" ht="21.95" customHeight="1" x14ac:dyDescent="0.2">
      <c r="A43" s="235">
        <v>1675</v>
      </c>
      <c r="B43" s="228" t="s">
        <v>87</v>
      </c>
      <c r="C43" s="238" t="s">
        <v>219</v>
      </c>
      <c r="D43" s="217">
        <v>1929741121</v>
      </c>
      <c r="E43" s="217">
        <v>1929741121</v>
      </c>
      <c r="F43" s="217">
        <f t="shared" si="13"/>
        <v>0</v>
      </c>
      <c r="G43" s="216">
        <f t="shared" si="14"/>
        <v>0</v>
      </c>
      <c r="H43" s="230"/>
      <c r="I43" s="225"/>
      <c r="J43" s="211"/>
      <c r="K43" s="214"/>
      <c r="L43" s="214"/>
      <c r="M43" s="214"/>
      <c r="N43" s="245"/>
      <c r="P43" s="28">
        <f>+D36/$D$34*100</f>
        <v>0.60965376612052813</v>
      </c>
      <c r="Q43" s="11" t="e">
        <f>+D34/#REF!*100</f>
        <v>#REF!</v>
      </c>
      <c r="R43" s="11"/>
      <c r="S43" s="11"/>
    </row>
    <row r="44" spans="1:26" s="2" customFormat="1" ht="22.5" customHeight="1" x14ac:dyDescent="0.2">
      <c r="A44" s="235">
        <v>1680</v>
      </c>
      <c r="B44" s="228" t="s">
        <v>88</v>
      </c>
      <c r="C44" s="238" t="s">
        <v>219</v>
      </c>
      <c r="D44" s="217">
        <v>813359928.33000004</v>
      </c>
      <c r="E44" s="217">
        <v>612550491.19000006</v>
      </c>
      <c r="F44" s="217">
        <f t="shared" si="13"/>
        <v>200809437.13999999</v>
      </c>
      <c r="G44" s="216">
        <f t="shared" si="14"/>
        <v>0.32782511813824211</v>
      </c>
      <c r="H44" s="249"/>
      <c r="I44" s="230"/>
      <c r="J44" s="229"/>
      <c r="K44" s="255"/>
      <c r="L44" s="255"/>
      <c r="M44" s="255"/>
      <c r="N44" s="256"/>
      <c r="R44" s="11"/>
      <c r="S44" s="11"/>
    </row>
    <row r="45" spans="1:26" s="2" customFormat="1" ht="18.75" customHeight="1" x14ac:dyDescent="0.2">
      <c r="A45" s="235">
        <v>1681</v>
      </c>
      <c r="B45" s="228" t="s">
        <v>23</v>
      </c>
      <c r="C45" s="238" t="s">
        <v>219</v>
      </c>
      <c r="D45" s="217">
        <v>289020469</v>
      </c>
      <c r="E45" s="217">
        <v>1610344595.6700001</v>
      </c>
      <c r="F45" s="217">
        <f t="shared" si="13"/>
        <v>-1321324126.6700001</v>
      </c>
      <c r="G45" s="216">
        <f>+F45/E45</f>
        <v>-0.82052259511589187</v>
      </c>
      <c r="H45" s="230"/>
      <c r="I45" s="243" t="s">
        <v>15</v>
      </c>
      <c r="J45" s="211"/>
      <c r="K45" s="212">
        <f>+K47</f>
        <v>599099531700.57996</v>
      </c>
      <c r="L45" s="212">
        <f t="shared" ref="L45:M45" si="15">+L47</f>
        <v>552397775515.02002</v>
      </c>
      <c r="M45" s="212">
        <f t="shared" si="15"/>
        <v>46701756185.559937</v>
      </c>
      <c r="N45" s="244">
        <f>+M45/L45</f>
        <v>8.4543707914135305E-2</v>
      </c>
      <c r="P45" s="11"/>
      <c r="R45" s="11"/>
      <c r="S45" s="11"/>
    </row>
    <row r="46" spans="1:26" s="2" customFormat="1" ht="20.25" customHeight="1" x14ac:dyDescent="0.2">
      <c r="A46" s="224">
        <v>1685</v>
      </c>
      <c r="B46" s="228" t="s">
        <v>89</v>
      </c>
      <c r="C46" s="229" t="s">
        <v>220</v>
      </c>
      <c r="D46" s="217">
        <v>-20846619914.330002</v>
      </c>
      <c r="E46" s="217">
        <v>-19369777594.169998</v>
      </c>
      <c r="F46" s="217">
        <f t="shared" si="13"/>
        <v>-1476842320.1600037</v>
      </c>
      <c r="G46" s="216">
        <f>+F46/E46</f>
        <v>7.6244671007709985E-2</v>
      </c>
      <c r="H46" s="249"/>
      <c r="I46" s="230"/>
      <c r="J46" s="229"/>
      <c r="K46" s="214"/>
      <c r="L46" s="214"/>
      <c r="M46" s="214"/>
      <c r="N46" s="248"/>
      <c r="P46" s="11"/>
      <c r="R46" s="11"/>
      <c r="S46" s="11"/>
    </row>
    <row r="47" spans="1:26" s="2" customFormat="1" ht="33.75" x14ac:dyDescent="0.2">
      <c r="A47" s="224">
        <v>1695</v>
      </c>
      <c r="B47" s="228" t="s">
        <v>192</v>
      </c>
      <c r="C47" s="229" t="s">
        <v>220</v>
      </c>
      <c r="D47" s="209">
        <v>0</v>
      </c>
      <c r="E47" s="217">
        <v>-249733128.78</v>
      </c>
      <c r="F47" s="217">
        <f t="shared" si="13"/>
        <v>249733128.78</v>
      </c>
      <c r="G47" s="216">
        <f>+F47/E47</f>
        <v>-1</v>
      </c>
      <c r="H47" s="237">
        <v>31</v>
      </c>
      <c r="I47" s="227" t="s">
        <v>116</v>
      </c>
      <c r="J47" s="211">
        <v>26</v>
      </c>
      <c r="K47" s="214">
        <f>SUM(K48:K50)</f>
        <v>599099531700.57996</v>
      </c>
      <c r="L47" s="214">
        <f t="shared" ref="L47:M47" si="16">SUM(L48:L50)</f>
        <v>552397775515.02002</v>
      </c>
      <c r="M47" s="214">
        <f t="shared" si="16"/>
        <v>46701756185.559937</v>
      </c>
      <c r="N47" s="245">
        <f t="shared" ref="N47" si="17">+M47/L47</f>
        <v>8.4543707914135305E-2</v>
      </c>
      <c r="P47" s="11">
        <f>+D38/$D$34*100</f>
        <v>23.037222175414591</v>
      </c>
      <c r="R47" s="11">
        <f>+K42/$K$39*100</f>
        <v>0</v>
      </c>
      <c r="S47" s="11"/>
    </row>
    <row r="48" spans="1:26" s="2" customFormat="1" ht="33.75" x14ac:dyDescent="0.2">
      <c r="A48" s="226">
        <v>17</v>
      </c>
      <c r="B48" s="140" t="s">
        <v>21</v>
      </c>
      <c r="C48" s="211">
        <v>11</v>
      </c>
      <c r="D48" s="214">
        <f>+D49</f>
        <v>46206747.32</v>
      </c>
      <c r="E48" s="214">
        <f>+E49</f>
        <v>46206747.32</v>
      </c>
      <c r="F48" s="214">
        <f>+F49</f>
        <v>0</v>
      </c>
      <c r="G48" s="215">
        <f>+F48/E48</f>
        <v>0</v>
      </c>
      <c r="H48" s="246">
        <v>3105</v>
      </c>
      <c r="I48" s="228" t="s">
        <v>18</v>
      </c>
      <c r="J48" s="229" t="s">
        <v>240</v>
      </c>
      <c r="K48" s="217">
        <v>44239962579.480003</v>
      </c>
      <c r="L48" s="209">
        <v>44239962579.480003</v>
      </c>
      <c r="M48" s="217">
        <f>+K48-L48</f>
        <v>0</v>
      </c>
      <c r="N48" s="247">
        <f>+M48/L48</f>
        <v>0</v>
      </c>
      <c r="P48" s="11"/>
      <c r="R48" s="11"/>
      <c r="S48" s="11"/>
    </row>
    <row r="49" spans="1:26" s="2" customFormat="1" ht="24" customHeight="1" x14ac:dyDescent="0.2">
      <c r="A49" s="235">
        <v>1715</v>
      </c>
      <c r="B49" s="228" t="s">
        <v>22</v>
      </c>
      <c r="C49" s="236" t="s">
        <v>221</v>
      </c>
      <c r="D49" s="217">
        <v>46206747.32</v>
      </c>
      <c r="E49" s="217">
        <v>46206747.32</v>
      </c>
      <c r="F49" s="217">
        <f>+D49-E49</f>
        <v>0</v>
      </c>
      <c r="G49" s="216">
        <f>+F49/E49</f>
        <v>0</v>
      </c>
      <c r="H49" s="246">
        <v>3109</v>
      </c>
      <c r="I49" s="228" t="s">
        <v>117</v>
      </c>
      <c r="J49" s="229" t="s">
        <v>241</v>
      </c>
      <c r="K49" s="209">
        <v>511203781433.03998</v>
      </c>
      <c r="L49" s="209">
        <v>430211250357.5</v>
      </c>
      <c r="M49" s="217">
        <f>+K49-L49</f>
        <v>80992531075.539978</v>
      </c>
      <c r="N49" s="247">
        <f t="shared" ref="N49" si="18">+M49/L49</f>
        <v>0.18826223397978606</v>
      </c>
      <c r="P49" s="28">
        <f>+D39/$D$34*100</f>
        <v>0.78172333887730383</v>
      </c>
      <c r="R49" s="11">
        <f>+K45/$K$39*100</f>
        <v>2023.8089047447038</v>
      </c>
      <c r="S49" s="11"/>
    </row>
    <row r="50" spans="1:26" s="2" customFormat="1" ht="18" customHeight="1" x14ac:dyDescent="0.2">
      <c r="A50" s="226">
        <v>19</v>
      </c>
      <c r="B50" s="233" t="s">
        <v>11</v>
      </c>
      <c r="C50" s="211">
        <v>16</v>
      </c>
      <c r="D50" s="214">
        <f>SUM(D51:D54)</f>
        <v>1871135817.9300003</v>
      </c>
      <c r="E50" s="214">
        <f>SUM(E51:E54)</f>
        <v>1856260086.4300001</v>
      </c>
      <c r="F50" s="214">
        <f>SUM(F51:F54)</f>
        <v>14875731.499999911</v>
      </c>
      <c r="G50" s="215">
        <f t="shared" ref="G50" si="19">+F50/E50</f>
        <v>8.0138185423192735E-3</v>
      </c>
      <c r="H50" s="246">
        <v>3110</v>
      </c>
      <c r="I50" s="228" t="s">
        <v>20</v>
      </c>
      <c r="J50" s="229" t="s">
        <v>242</v>
      </c>
      <c r="K50" s="217">
        <f>+'EST RESUL DICIEMBRE 2025-2024'!D78</f>
        <v>43655787688.059982</v>
      </c>
      <c r="L50" s="217">
        <f>+'EST RESUL DICIEMBRE 2025-2024'!E78</f>
        <v>77946562578.040024</v>
      </c>
      <c r="M50" s="217">
        <f>+K50-L50</f>
        <v>-34290774889.980042</v>
      </c>
      <c r="N50" s="247">
        <f>+M50/L50</f>
        <v>-0.43992671075967144</v>
      </c>
      <c r="P50" s="11">
        <f>+D41/$D$34*100</f>
        <v>0.71955479943377942</v>
      </c>
      <c r="R50" s="11">
        <f>+K46/$K$39*100</f>
        <v>0</v>
      </c>
      <c r="S50" s="11"/>
    </row>
    <row r="51" spans="1:26" s="2" customFormat="1" ht="24" customHeight="1" x14ac:dyDescent="0.2">
      <c r="A51" s="235">
        <v>1905</v>
      </c>
      <c r="B51" s="228" t="s">
        <v>193</v>
      </c>
      <c r="C51" s="229" t="s">
        <v>275</v>
      </c>
      <c r="D51" s="209">
        <v>154164805.25999999</v>
      </c>
      <c r="E51" s="209">
        <v>110208166.59999999</v>
      </c>
      <c r="F51" s="217">
        <f>+D51-E51</f>
        <v>43956638.659999996</v>
      </c>
      <c r="G51" s="216">
        <f>+F51/E51</f>
        <v>0.39885101091954833</v>
      </c>
      <c r="H51" s="246"/>
      <c r="I51" s="228"/>
      <c r="J51" s="229"/>
      <c r="K51" s="217"/>
      <c r="L51" s="217"/>
      <c r="M51" s="217"/>
      <c r="N51" s="247"/>
      <c r="P51" s="11">
        <f>+D42/$D$34*100</f>
        <v>4.7208675758266594</v>
      </c>
      <c r="R51" s="11" t="e">
        <f>+#REF!/$K$39*100</f>
        <v>#REF!</v>
      </c>
      <c r="S51" s="11"/>
    </row>
    <row r="52" spans="1:26" s="2" customFormat="1" ht="21" customHeight="1" x14ac:dyDescent="0.2">
      <c r="A52" s="235">
        <v>1909</v>
      </c>
      <c r="B52" s="228" t="s">
        <v>90</v>
      </c>
      <c r="C52" s="229" t="s">
        <v>276</v>
      </c>
      <c r="D52" s="209">
        <v>1263704</v>
      </c>
      <c r="E52" s="209">
        <v>1263704</v>
      </c>
      <c r="F52" s="217">
        <f>+D52-E52</f>
        <v>0</v>
      </c>
      <c r="G52" s="216">
        <f>+F52/E52</f>
        <v>0</v>
      </c>
      <c r="H52" s="246"/>
      <c r="I52" s="228"/>
      <c r="J52" s="229"/>
      <c r="K52" s="217"/>
      <c r="L52" s="217"/>
      <c r="M52" s="217"/>
      <c r="N52" s="247"/>
      <c r="P52" s="11"/>
      <c r="R52" s="11"/>
      <c r="S52" s="11"/>
    </row>
    <row r="53" spans="1:26" s="2" customFormat="1" ht="15.75" customHeight="1" x14ac:dyDescent="0.2">
      <c r="A53" s="235">
        <v>1970</v>
      </c>
      <c r="B53" s="228" t="s">
        <v>91</v>
      </c>
      <c r="C53" s="229" t="s">
        <v>210</v>
      </c>
      <c r="D53" s="209">
        <v>3282226311.6700001</v>
      </c>
      <c r="E53" s="209">
        <v>3163011364.6700001</v>
      </c>
      <c r="F53" s="217">
        <f>+D53-E53</f>
        <v>119214947</v>
      </c>
      <c r="G53" s="216">
        <f t="shared" ref="G53:G54" si="20">+F53/E53</f>
        <v>3.7690331540252878E-2</v>
      </c>
      <c r="H53" s="246"/>
      <c r="I53" s="228"/>
      <c r="J53" s="229"/>
      <c r="K53" s="217"/>
      <c r="L53" s="217"/>
      <c r="M53" s="217"/>
      <c r="N53" s="247"/>
      <c r="P53" s="11">
        <f>+D44/$D$34*100</f>
        <v>0.29821534623240697</v>
      </c>
      <c r="R53" s="11"/>
      <c r="S53" s="11"/>
      <c r="Y53" s="12"/>
    </row>
    <row r="54" spans="1:26" s="2" customFormat="1" ht="21.75" customHeight="1" x14ac:dyDescent="0.2">
      <c r="A54" s="224">
        <v>1975</v>
      </c>
      <c r="B54" s="228" t="s">
        <v>92</v>
      </c>
      <c r="C54" s="229" t="s">
        <v>210</v>
      </c>
      <c r="D54" s="209">
        <v>-1566519003</v>
      </c>
      <c r="E54" s="209">
        <v>-1418223148.8399999</v>
      </c>
      <c r="F54" s="217">
        <f>+D54-E54</f>
        <v>-148295854.16000009</v>
      </c>
      <c r="G54" s="216">
        <f t="shared" si="20"/>
        <v>0.10456454210417801</v>
      </c>
      <c r="H54" s="230"/>
      <c r="I54" s="230"/>
      <c r="J54" s="229"/>
      <c r="K54" s="217"/>
      <c r="L54" s="217"/>
      <c r="M54" s="217"/>
      <c r="N54" s="248"/>
      <c r="P54" s="11">
        <f>+D45/$D$34*100</f>
        <v>0.10596826353131836</v>
      </c>
      <c r="R54" s="11"/>
      <c r="S54" s="11"/>
      <c r="Y54" s="12"/>
      <c r="Z54" s="12"/>
    </row>
    <row r="55" spans="1:26" s="2" customFormat="1" ht="24" customHeight="1" thickBot="1" x14ac:dyDescent="0.25">
      <c r="A55" s="240"/>
      <c r="B55" s="241" t="s">
        <v>24</v>
      </c>
      <c r="C55" s="242"/>
      <c r="D55" s="222">
        <f>+D9+D29</f>
        <v>628702105851.53003</v>
      </c>
      <c r="E55" s="222">
        <f t="shared" ref="E55:F55" si="21">+E9+E29</f>
        <v>577259166131.38989</v>
      </c>
      <c r="F55" s="222">
        <f t="shared" si="21"/>
        <v>51442939720.139984</v>
      </c>
      <c r="G55" s="223">
        <f>+F55/E55</f>
        <v>8.9115847332307346E-2</v>
      </c>
      <c r="H55" s="257"/>
      <c r="I55" s="241" t="s">
        <v>25</v>
      </c>
      <c r="J55" s="242"/>
      <c r="K55" s="222">
        <f>+K39+K45</f>
        <v>628702105851.52991</v>
      </c>
      <c r="L55" s="222">
        <f>+L39+L45</f>
        <v>577259166131.39001</v>
      </c>
      <c r="M55" s="222">
        <f>+M39+M45</f>
        <v>51442939720.139938</v>
      </c>
      <c r="N55" s="258">
        <f>+M55/L55</f>
        <v>8.9115847332307249E-2</v>
      </c>
      <c r="R55" s="11"/>
      <c r="S55" s="11"/>
      <c r="Y55" s="12"/>
      <c r="Z55" s="12"/>
    </row>
    <row r="56" spans="1:26" s="2" customFormat="1" ht="24.75" customHeight="1" x14ac:dyDescent="0.2">
      <c r="A56" s="259">
        <v>8</v>
      </c>
      <c r="B56" s="260" t="s">
        <v>26</v>
      </c>
      <c r="C56" s="261">
        <v>27</v>
      </c>
      <c r="D56" s="262">
        <f>+D57+D64+D60</f>
        <v>0</v>
      </c>
      <c r="E56" s="262">
        <f>+E57+E64+E60</f>
        <v>0</v>
      </c>
      <c r="F56" s="262">
        <f>+F57+F64+F60</f>
        <v>0</v>
      </c>
      <c r="G56" s="263">
        <v>0</v>
      </c>
      <c r="H56" s="264">
        <v>9</v>
      </c>
      <c r="I56" s="265" t="s">
        <v>27</v>
      </c>
      <c r="J56" s="261">
        <v>27</v>
      </c>
      <c r="K56" s="262">
        <f>+K57+K61+K64</f>
        <v>0</v>
      </c>
      <c r="L56" s="262">
        <f>+L57+L61+L64</f>
        <v>0</v>
      </c>
      <c r="M56" s="262">
        <f>+M57+M61+M64</f>
        <v>2.9802322387695313E-7</v>
      </c>
      <c r="N56" s="266">
        <v>0</v>
      </c>
      <c r="R56" s="11"/>
      <c r="S56" s="11"/>
    </row>
    <row r="57" spans="1:26" s="2" customFormat="1" ht="21.75" customHeight="1" x14ac:dyDescent="0.2">
      <c r="A57" s="226">
        <v>81</v>
      </c>
      <c r="B57" s="225" t="s">
        <v>107</v>
      </c>
      <c r="C57" s="211" t="s">
        <v>224</v>
      </c>
      <c r="D57" s="214">
        <f>SUM(D58:D59)</f>
        <v>2027249880</v>
      </c>
      <c r="E57" s="214">
        <f t="shared" ref="E57:F57" si="22">SUM(E58:E59)</f>
        <v>1135767515</v>
      </c>
      <c r="F57" s="214">
        <f t="shared" si="22"/>
        <v>891482365</v>
      </c>
      <c r="G57" s="267">
        <f>+F57/E57</f>
        <v>0.78491623789750664</v>
      </c>
      <c r="H57" s="268">
        <v>91</v>
      </c>
      <c r="I57" s="233" t="s">
        <v>111</v>
      </c>
      <c r="J57" s="211" t="s">
        <v>225</v>
      </c>
      <c r="K57" s="214">
        <f>SUM(K58:K60)</f>
        <v>6529404715.9899998</v>
      </c>
      <c r="L57" s="214">
        <f>SUM(L58:L60)</f>
        <v>6458540902.7600002</v>
      </c>
      <c r="M57" s="214">
        <f>SUM(M58:M60)</f>
        <v>70863813.229999542</v>
      </c>
      <c r="N57" s="245">
        <f>+M57/L57</f>
        <v>1.0972108762168947E-2</v>
      </c>
      <c r="O57" s="12"/>
      <c r="Q57" s="12"/>
      <c r="R57" s="11"/>
      <c r="S57" s="11"/>
    </row>
    <row r="58" spans="1:26" s="2" customFormat="1" ht="33.75" x14ac:dyDescent="0.2">
      <c r="A58" s="234">
        <v>8120</v>
      </c>
      <c r="B58" s="228" t="s">
        <v>108</v>
      </c>
      <c r="C58" s="229" t="s">
        <v>235</v>
      </c>
      <c r="D58" s="209">
        <v>0</v>
      </c>
      <c r="E58" s="209">
        <v>13544742</v>
      </c>
      <c r="F58" s="217">
        <f>+D58-E58</f>
        <v>-13544742</v>
      </c>
      <c r="G58" s="269">
        <f>+F58/E58</f>
        <v>-1</v>
      </c>
      <c r="H58" s="270">
        <v>9120</v>
      </c>
      <c r="I58" s="228" t="s">
        <v>108</v>
      </c>
      <c r="J58" s="229" t="s">
        <v>244</v>
      </c>
      <c r="K58" s="209">
        <v>1148808091</v>
      </c>
      <c r="L58" s="209">
        <v>0</v>
      </c>
      <c r="M58" s="217">
        <f>+K58-L58</f>
        <v>1148808091</v>
      </c>
      <c r="N58" s="271" t="s">
        <v>6</v>
      </c>
      <c r="P58" s="12" t="e">
        <f>+#REF!-#REF!</f>
        <v>#REF!</v>
      </c>
    </row>
    <row r="59" spans="1:26" s="2" customFormat="1" ht="22.5" x14ac:dyDescent="0.2">
      <c r="A59" s="234">
        <v>8190</v>
      </c>
      <c r="B59" s="228" t="s">
        <v>109</v>
      </c>
      <c r="C59" s="229" t="s">
        <v>243</v>
      </c>
      <c r="D59" s="209">
        <v>2027249880</v>
      </c>
      <c r="E59" s="209">
        <v>1122222773</v>
      </c>
      <c r="F59" s="217">
        <f>+D59-E59</f>
        <v>905027107</v>
      </c>
      <c r="G59" s="269">
        <f>+F59/E59</f>
        <v>0.80645940251294468</v>
      </c>
      <c r="H59" s="270">
        <v>9128</v>
      </c>
      <c r="I59" s="228" t="s">
        <v>112</v>
      </c>
      <c r="J59" s="229" t="s">
        <v>245</v>
      </c>
      <c r="K59" s="209">
        <v>2531143680.9899998</v>
      </c>
      <c r="L59" s="209">
        <v>2530239140.7600002</v>
      </c>
      <c r="M59" s="217">
        <f>+K59-L59</f>
        <v>904540.22999954224</v>
      </c>
      <c r="N59" s="247">
        <f t="shared" ref="N59:N63" si="23">+M59/L59</f>
        <v>3.5749199173634169E-4</v>
      </c>
    </row>
    <row r="60" spans="1:26" s="2" customFormat="1" ht="20.25" customHeight="1" x14ac:dyDescent="0.2">
      <c r="A60" s="226"/>
      <c r="B60" s="251"/>
      <c r="C60" s="229"/>
      <c r="D60" s="214"/>
      <c r="E60" s="214"/>
      <c r="F60" s="214"/>
      <c r="G60" s="272"/>
      <c r="H60" s="270">
        <v>9190</v>
      </c>
      <c r="I60" s="228" t="s">
        <v>166</v>
      </c>
      <c r="J60" s="229" t="s">
        <v>246</v>
      </c>
      <c r="K60" s="209">
        <v>2849452944</v>
      </c>
      <c r="L60" s="209">
        <v>3928301762</v>
      </c>
      <c r="M60" s="217">
        <f>+K60-L60</f>
        <v>-1078848818</v>
      </c>
      <c r="N60" s="247">
        <f t="shared" si="23"/>
        <v>-0.27463491436328208</v>
      </c>
    </row>
    <row r="61" spans="1:26" s="2" customFormat="1" ht="21" customHeight="1" x14ac:dyDescent="0.2">
      <c r="A61" s="226"/>
      <c r="B61" s="251"/>
      <c r="C61" s="229"/>
      <c r="D61" s="214"/>
      <c r="E61" s="214"/>
      <c r="F61" s="214"/>
      <c r="G61" s="272"/>
      <c r="H61" s="268">
        <v>93</v>
      </c>
      <c r="I61" s="233" t="s">
        <v>177</v>
      </c>
      <c r="J61" s="211"/>
      <c r="K61" s="214">
        <f>SUM(K62:K63)</f>
        <v>10496624645</v>
      </c>
      <c r="L61" s="214">
        <f>SUM(L62:L63)</f>
        <v>10766326438.18</v>
      </c>
      <c r="M61" s="214">
        <f>SUM(M62:M63)</f>
        <v>-269701793.18000001</v>
      </c>
      <c r="N61" s="245">
        <f>+M61/L61</f>
        <v>-2.5050493752778305E-2</v>
      </c>
    </row>
    <row r="62" spans="1:26" s="2" customFormat="1" ht="21" customHeight="1" x14ac:dyDescent="0.2">
      <c r="A62" s="226"/>
      <c r="B62" s="251"/>
      <c r="C62" s="229"/>
      <c r="D62" s="214"/>
      <c r="E62" s="273"/>
      <c r="F62" s="214"/>
      <c r="G62" s="272"/>
      <c r="H62" s="270">
        <v>9308</v>
      </c>
      <c r="I62" s="228" t="s">
        <v>178</v>
      </c>
      <c r="J62" s="229"/>
      <c r="K62" s="209">
        <v>0</v>
      </c>
      <c r="L62" s="209">
        <v>297509438.18000001</v>
      </c>
      <c r="M62" s="217">
        <f>+K62-L62</f>
        <v>-297509438.18000001</v>
      </c>
      <c r="N62" s="247">
        <f t="shared" si="23"/>
        <v>-1</v>
      </c>
    </row>
    <row r="63" spans="1:26" s="2" customFormat="1" ht="33" customHeight="1" x14ac:dyDescent="0.2">
      <c r="A63" s="226"/>
      <c r="B63" s="251"/>
      <c r="C63" s="229"/>
      <c r="D63" s="214"/>
      <c r="E63" s="214"/>
      <c r="F63" s="214"/>
      <c r="G63" s="272"/>
      <c r="H63" s="270">
        <v>9390</v>
      </c>
      <c r="I63" s="228" t="s">
        <v>196</v>
      </c>
      <c r="J63" s="229"/>
      <c r="K63" s="209">
        <v>10496624645</v>
      </c>
      <c r="L63" s="209">
        <v>10468817000</v>
      </c>
      <c r="M63" s="217">
        <f>+K63-L63</f>
        <v>27807645</v>
      </c>
      <c r="N63" s="247">
        <f t="shared" si="23"/>
        <v>2.6562356568082144E-3</v>
      </c>
    </row>
    <row r="64" spans="1:26" s="2" customFormat="1" ht="22.5" x14ac:dyDescent="0.2">
      <c r="A64" s="226">
        <v>89</v>
      </c>
      <c r="B64" s="233" t="s">
        <v>164</v>
      </c>
      <c r="C64" s="211" t="s">
        <v>224</v>
      </c>
      <c r="D64" s="214">
        <f>SUM(D65:D66)</f>
        <v>-2027249880</v>
      </c>
      <c r="E64" s="214">
        <f>SUM(E65:E66)</f>
        <v>-1135767515</v>
      </c>
      <c r="F64" s="214">
        <f>SUM(F65:F66)</f>
        <v>-891482365</v>
      </c>
      <c r="G64" s="274">
        <f>+F64/E64</f>
        <v>0.78491623789750664</v>
      </c>
      <c r="H64" s="275">
        <v>99</v>
      </c>
      <c r="I64" s="251" t="s">
        <v>163</v>
      </c>
      <c r="J64" s="211" t="s">
        <v>225</v>
      </c>
      <c r="K64" s="214">
        <f>SUM(K65:K66)</f>
        <v>-17026029360.99</v>
      </c>
      <c r="L64" s="214">
        <f>SUM(L65:L66)</f>
        <v>-17224867340.940002</v>
      </c>
      <c r="M64" s="214">
        <f>SUM(M65:M66)</f>
        <v>198837979.95000076</v>
      </c>
      <c r="N64" s="276">
        <f>+M64/L64</f>
        <v>-1.1543658131833815E-2</v>
      </c>
      <c r="V64" s="81"/>
    </row>
    <row r="65" spans="1:22" s="2" customFormat="1" ht="33.75" x14ac:dyDescent="0.2">
      <c r="A65" s="234">
        <v>8905</v>
      </c>
      <c r="B65" s="228" t="s">
        <v>110</v>
      </c>
      <c r="C65" s="211"/>
      <c r="D65" s="209">
        <v>-2027249880</v>
      </c>
      <c r="E65" s="209">
        <v>-1135767515</v>
      </c>
      <c r="F65" s="217">
        <f>+D65-E65</f>
        <v>-891482365</v>
      </c>
      <c r="G65" s="277">
        <f>+F65/E65</f>
        <v>0.78491623789750664</v>
      </c>
      <c r="H65" s="278">
        <v>9905</v>
      </c>
      <c r="I65" s="228" t="s">
        <v>168</v>
      </c>
      <c r="J65" s="211"/>
      <c r="K65" s="209">
        <v>-6529404715.9899998</v>
      </c>
      <c r="L65" s="209">
        <v>-6458540902.7600002</v>
      </c>
      <c r="M65" s="217">
        <f>+K65-L65</f>
        <v>-70863813.229999542</v>
      </c>
      <c r="N65" s="271">
        <f>+M65/L65</f>
        <v>1.0972108762168947E-2</v>
      </c>
      <c r="U65" s="81"/>
      <c r="V65" s="81"/>
    </row>
    <row r="66" spans="1:22" ht="22.5" x14ac:dyDescent="0.2">
      <c r="A66" s="234"/>
      <c r="B66" s="228"/>
      <c r="C66" s="229"/>
      <c r="D66" s="217"/>
      <c r="E66" s="217"/>
      <c r="F66" s="217"/>
      <c r="G66" s="279"/>
      <c r="H66" s="278">
        <v>9915</v>
      </c>
      <c r="I66" s="228" t="s">
        <v>171</v>
      </c>
      <c r="J66" s="229"/>
      <c r="K66" s="209">
        <v>-10496624645</v>
      </c>
      <c r="L66" s="209">
        <v>-10766326438.18</v>
      </c>
      <c r="M66" s="217">
        <f>+K66-L66</f>
        <v>269701793.18000031</v>
      </c>
      <c r="N66" s="271">
        <f t="shared" ref="N66" si="24">+M66/L66</f>
        <v>-2.5050493752778333E-2</v>
      </c>
      <c r="O66" s="2"/>
      <c r="P66" s="2"/>
      <c r="Q66" s="2"/>
      <c r="R66" s="2"/>
      <c r="S66" s="2"/>
      <c r="T66" s="2"/>
    </row>
    <row r="67" spans="1:22" ht="11.25" customHeight="1" x14ac:dyDescent="0.2">
      <c r="A67" s="113"/>
      <c r="B67" s="76"/>
      <c r="C67" s="68"/>
      <c r="D67" s="79"/>
      <c r="E67" s="79"/>
      <c r="F67" s="74"/>
      <c r="G67" s="162"/>
      <c r="H67" s="49"/>
      <c r="I67" s="76"/>
      <c r="J67" s="68"/>
      <c r="K67" s="79"/>
      <c r="L67" s="79"/>
      <c r="M67" s="74"/>
      <c r="N67" s="115"/>
      <c r="O67" s="2"/>
      <c r="P67" s="2"/>
      <c r="Q67" s="2"/>
      <c r="R67" s="2"/>
      <c r="S67" s="2"/>
      <c r="T67" s="2"/>
    </row>
  </sheetData>
  <mergeCells count="15">
    <mergeCell ref="P6:Q6"/>
    <mergeCell ref="R6:S6"/>
    <mergeCell ref="A1:N1"/>
    <mergeCell ref="A4:N4"/>
    <mergeCell ref="A5:N5"/>
    <mergeCell ref="A6:A7"/>
    <mergeCell ref="B6:B7"/>
    <mergeCell ref="G6:G7"/>
    <mergeCell ref="H6:H7"/>
    <mergeCell ref="I6:I7"/>
    <mergeCell ref="N6:N7"/>
    <mergeCell ref="A3:N3"/>
    <mergeCell ref="A2:N2"/>
    <mergeCell ref="C6:C7"/>
    <mergeCell ref="J6:J7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9"/>
  <sheetViews>
    <sheetView tabSelected="1" topLeftCell="A16" zoomScale="95" zoomScaleNormal="95" workbookViewId="0">
      <selection activeCell="D46" sqref="D46"/>
    </sheetView>
  </sheetViews>
  <sheetFormatPr baseColWidth="10" defaultColWidth="11.42578125" defaultRowHeight="12.75" x14ac:dyDescent="0.2"/>
  <cols>
    <col min="1" max="1" width="8.7109375" style="8" bestFit="1" customWidth="1"/>
    <col min="2" max="2" width="45.42578125" style="3" customWidth="1"/>
    <col min="3" max="3" width="7.7109375" style="8" customWidth="1"/>
    <col min="4" max="4" width="31.7109375" style="17" customWidth="1"/>
    <col min="5" max="5" width="31.5703125" style="3" customWidth="1"/>
    <col min="6" max="6" width="15" style="9" bestFit="1" customWidth="1"/>
    <col min="7" max="7" width="8.28515625" style="8" bestFit="1" customWidth="1"/>
    <col min="8" max="8" width="25.140625" style="23" hidden="1" customWidth="1"/>
    <col min="9" max="9" width="16.42578125" style="3" hidden="1" customWidth="1"/>
    <col min="10" max="10" width="17.85546875" style="3" hidden="1" customWidth="1"/>
    <col min="11" max="11" width="16.140625" style="3" hidden="1" customWidth="1"/>
    <col min="12" max="12" width="13.85546875" style="3" hidden="1" customWidth="1"/>
    <col min="13" max="14" width="13.7109375" style="3" hidden="1" customWidth="1"/>
    <col min="15" max="15" width="11.42578125" style="3" hidden="1" customWidth="1"/>
    <col min="16" max="16" width="16.7109375" style="3" hidden="1" customWidth="1"/>
    <col min="17" max="18" width="11.42578125" style="3" hidden="1" customWidth="1"/>
    <col min="19" max="19" width="0" style="3" hidden="1" customWidth="1"/>
    <col min="20" max="20" width="7" style="3" hidden="1" customWidth="1"/>
    <col min="21" max="16384" width="11.42578125" style="3"/>
  </cols>
  <sheetData>
    <row r="1" spans="1:16" ht="15.75" customHeight="1" x14ac:dyDescent="0.25">
      <c r="A1" s="285" t="s">
        <v>174</v>
      </c>
      <c r="B1" s="286"/>
      <c r="C1" s="286"/>
      <c r="D1" s="286"/>
      <c r="E1" s="286"/>
      <c r="F1" s="286"/>
      <c r="G1" s="287"/>
      <c r="H1" s="150"/>
      <c r="I1" s="150"/>
      <c r="J1" s="150"/>
      <c r="K1" s="150"/>
      <c r="L1" s="151"/>
    </row>
    <row r="2" spans="1:16" ht="15" customHeight="1" x14ac:dyDescent="0.25">
      <c r="A2" s="288" t="s">
        <v>167</v>
      </c>
      <c r="B2" s="289"/>
      <c r="C2" s="289"/>
      <c r="D2" s="289"/>
      <c r="E2" s="289"/>
      <c r="F2" s="289"/>
      <c r="G2" s="290"/>
      <c r="H2" s="288"/>
      <c r="I2" s="289"/>
      <c r="J2" s="289"/>
      <c r="K2" s="289"/>
      <c r="L2" s="289"/>
      <c r="M2" s="289"/>
      <c r="N2" s="290"/>
    </row>
    <row r="3" spans="1:16" ht="16.5" customHeight="1" x14ac:dyDescent="0.3">
      <c r="A3" s="288" t="s">
        <v>154</v>
      </c>
      <c r="B3" s="289"/>
      <c r="C3" s="289"/>
      <c r="D3" s="289"/>
      <c r="E3" s="289"/>
      <c r="F3" s="289"/>
      <c r="G3" s="290"/>
      <c r="H3" s="37"/>
      <c r="I3" s="37"/>
      <c r="J3" s="37"/>
      <c r="K3" s="37"/>
      <c r="L3" s="38"/>
    </row>
    <row r="4" spans="1:16" ht="15.75" customHeight="1" x14ac:dyDescent="0.25">
      <c r="A4" s="288" t="s">
        <v>226</v>
      </c>
      <c r="B4" s="289"/>
      <c r="C4" s="289"/>
      <c r="D4" s="289"/>
      <c r="E4" s="289"/>
      <c r="F4" s="289"/>
      <c r="G4" s="290"/>
      <c r="H4" s="34"/>
      <c r="I4" s="34"/>
      <c r="J4" s="34"/>
      <c r="K4" s="34"/>
      <c r="L4" s="35"/>
    </row>
    <row r="5" spans="1:16" ht="15" customHeight="1" x14ac:dyDescent="0.25">
      <c r="A5" s="318" t="s">
        <v>68</v>
      </c>
      <c r="B5" s="319"/>
      <c r="C5" s="319"/>
      <c r="D5" s="319"/>
      <c r="E5" s="319"/>
      <c r="F5" s="319"/>
      <c r="G5" s="320"/>
      <c r="H5" s="17"/>
    </row>
    <row r="6" spans="1:16" ht="0.75" customHeight="1" x14ac:dyDescent="0.2">
      <c r="A6" s="96"/>
      <c r="B6" s="87"/>
      <c r="C6" s="66"/>
      <c r="D6" s="152"/>
      <c r="E6" s="92"/>
      <c r="F6" s="92"/>
      <c r="G6" s="119"/>
      <c r="H6" s="314" t="s">
        <v>37</v>
      </c>
      <c r="I6" s="315"/>
      <c r="J6" s="315"/>
      <c r="K6" s="315"/>
    </row>
    <row r="7" spans="1:16" x14ac:dyDescent="0.2">
      <c r="A7" s="312" t="s">
        <v>0</v>
      </c>
      <c r="B7" s="313" t="s">
        <v>38</v>
      </c>
      <c r="C7" s="313"/>
      <c r="D7" s="159">
        <v>2025</v>
      </c>
      <c r="E7" s="159">
        <v>2024</v>
      </c>
      <c r="F7" s="33" t="s">
        <v>2</v>
      </c>
      <c r="G7" s="316" t="s">
        <v>151</v>
      </c>
      <c r="H7" s="59" t="s">
        <v>39</v>
      </c>
      <c r="I7" s="60" t="s">
        <v>40</v>
      </c>
      <c r="J7" s="60" t="s">
        <v>41</v>
      </c>
      <c r="K7" s="60" t="s">
        <v>42</v>
      </c>
      <c r="L7" s="26" t="s">
        <v>43</v>
      </c>
      <c r="M7" s="27" t="s">
        <v>44</v>
      </c>
    </row>
    <row r="8" spans="1:16" x14ac:dyDescent="0.2">
      <c r="A8" s="312"/>
      <c r="B8" s="313"/>
      <c r="C8" s="313"/>
      <c r="D8" s="160" t="s">
        <v>234</v>
      </c>
      <c r="E8" s="160" t="s">
        <v>234</v>
      </c>
      <c r="F8" s="33" t="s">
        <v>5</v>
      </c>
      <c r="G8" s="317"/>
      <c r="H8" s="17"/>
    </row>
    <row r="9" spans="1:16" ht="0.75" customHeight="1" x14ac:dyDescent="0.2">
      <c r="A9" s="96"/>
      <c r="B9" s="55"/>
      <c r="C9" s="152"/>
      <c r="D9" s="86"/>
      <c r="E9" s="53"/>
      <c r="F9" s="30"/>
      <c r="G9" s="97"/>
      <c r="H9" s="17"/>
    </row>
    <row r="10" spans="1:16" ht="15.75" x14ac:dyDescent="0.25">
      <c r="A10" s="96"/>
      <c r="B10" s="187" t="s">
        <v>45</v>
      </c>
      <c r="C10" s="146">
        <v>29</v>
      </c>
      <c r="D10" s="131">
        <f>+D14+D18+D24+D28+D20</f>
        <v>272768980443.82001</v>
      </c>
      <c r="E10" s="131">
        <f>+E14+E18+E24+E28+E20</f>
        <v>275092378393.5</v>
      </c>
      <c r="F10" s="131">
        <f>+F14+F18+F24+F28+F20</f>
        <v>-2323397949.6799927</v>
      </c>
      <c r="G10" s="132">
        <f>+F10/E10</f>
        <v>-8.4458826640283653E-3</v>
      </c>
      <c r="H10" s="85">
        <v>21801490870</v>
      </c>
      <c r="I10" s="9">
        <v>16171306615</v>
      </c>
      <c r="J10" s="17">
        <v>19159708634.290001</v>
      </c>
      <c r="K10" s="9">
        <f>+D10-H10-I10-J10</f>
        <v>215636474324.53</v>
      </c>
      <c r="L10" s="9">
        <f>+H10+I10+J10+K10</f>
        <v>272768980443.82001</v>
      </c>
      <c r="M10" s="31">
        <f>+D10/D10*100</f>
        <v>100</v>
      </c>
      <c r="P10" s="9">
        <f>+L10-D10</f>
        <v>0</v>
      </c>
    </row>
    <row r="11" spans="1:16" ht="1.5" customHeight="1" x14ac:dyDescent="0.25">
      <c r="A11" s="96"/>
      <c r="B11" s="50"/>
      <c r="C11" s="34"/>
      <c r="D11" s="13"/>
      <c r="E11" s="51"/>
      <c r="F11" s="30"/>
      <c r="G11" s="99"/>
      <c r="H11" s="17"/>
      <c r="J11" s="17"/>
      <c r="K11" s="9">
        <f t="shared" ref="K11:K39" si="0">+D11-H11-I11-J11</f>
        <v>0</v>
      </c>
      <c r="L11" s="9"/>
      <c r="P11" s="9">
        <f t="shared" ref="P11:P39" si="1">+L11-D11</f>
        <v>0</v>
      </c>
    </row>
    <row r="12" spans="1:16" ht="15" x14ac:dyDescent="0.2">
      <c r="A12" s="96"/>
      <c r="B12" s="179" t="s">
        <v>118</v>
      </c>
      <c r="C12" s="146" t="s">
        <v>229</v>
      </c>
      <c r="D12" s="179"/>
      <c r="E12" s="7"/>
      <c r="F12" s="30"/>
      <c r="G12" s="100"/>
      <c r="H12" s="85">
        <v>3524350</v>
      </c>
      <c r="I12" s="9">
        <v>7723100</v>
      </c>
      <c r="J12" s="17">
        <v>2667700</v>
      </c>
      <c r="K12" s="9">
        <f t="shared" ref="K12:K26" si="2">+D14-H12-I12-J12</f>
        <v>2765349830</v>
      </c>
      <c r="L12" s="9">
        <f t="shared" ref="L12:L52" si="3">+H12+I12+J12+K12</f>
        <v>2779264980</v>
      </c>
      <c r="M12" s="29">
        <f>+$D$14/$D$10*100</f>
        <v>1.0189080061368716</v>
      </c>
      <c r="P12" s="9">
        <f t="shared" ref="P12:P26" si="4">+L12-D14</f>
        <v>0</v>
      </c>
    </row>
    <row r="13" spans="1:16" ht="0.75" customHeight="1" x14ac:dyDescent="0.2">
      <c r="A13" s="96"/>
      <c r="B13" s="7"/>
      <c r="C13" s="66"/>
      <c r="D13" s="18"/>
      <c r="E13" s="7"/>
      <c r="F13" s="30"/>
      <c r="G13" s="100"/>
      <c r="H13" s="85">
        <v>0</v>
      </c>
      <c r="I13" s="9">
        <v>0</v>
      </c>
      <c r="J13" s="17">
        <v>0</v>
      </c>
      <c r="K13" s="9">
        <f>+D16-H13-I13-J13</f>
        <v>39891763</v>
      </c>
      <c r="L13" s="9">
        <f t="shared" si="3"/>
        <v>39891763</v>
      </c>
      <c r="P13" s="9">
        <f>+L13-D16</f>
        <v>0</v>
      </c>
    </row>
    <row r="14" spans="1:16" ht="17.25" customHeight="1" x14ac:dyDescent="0.2">
      <c r="A14" s="101">
        <v>41</v>
      </c>
      <c r="B14" s="4" t="s">
        <v>64</v>
      </c>
      <c r="C14" s="95" t="s">
        <v>230</v>
      </c>
      <c r="D14" s="51">
        <f>SUM(D15:D16)</f>
        <v>2779264980</v>
      </c>
      <c r="E14" s="51">
        <f>SUM(E15:E16)</f>
        <v>1240710851</v>
      </c>
      <c r="F14" s="51">
        <f>SUM(F15:F16)</f>
        <v>1538554129</v>
      </c>
      <c r="G14" s="98">
        <f>+F14/E14</f>
        <v>1.2400585742922627</v>
      </c>
      <c r="H14" s="85">
        <v>5518300</v>
      </c>
      <c r="I14" s="9">
        <v>11831900</v>
      </c>
      <c r="J14" s="17">
        <v>4208100</v>
      </c>
      <c r="K14" s="9">
        <f>+D17-H14-I14-J14</f>
        <v>-21558300</v>
      </c>
      <c r="L14" s="9">
        <f t="shared" si="3"/>
        <v>0</v>
      </c>
      <c r="P14" s="9">
        <f>+L14-D17</f>
        <v>0</v>
      </c>
    </row>
    <row r="15" spans="1:16" ht="16.5" customHeight="1" x14ac:dyDescent="0.2">
      <c r="A15" s="96">
        <v>4105</v>
      </c>
      <c r="B15" s="58" t="s">
        <v>169</v>
      </c>
      <c r="C15" s="95"/>
      <c r="D15" s="56">
        <v>2739373217</v>
      </c>
      <c r="E15" s="194">
        <v>1240710851</v>
      </c>
      <c r="F15" s="30">
        <f>+D15-E15</f>
        <v>1498662366</v>
      </c>
      <c r="G15" s="57">
        <f>+F15/E15</f>
        <v>1.2079062295554954</v>
      </c>
      <c r="H15" s="85"/>
      <c r="I15" s="9"/>
      <c r="J15" s="17"/>
      <c r="K15" s="9"/>
      <c r="L15" s="9"/>
      <c r="P15" s="9"/>
    </row>
    <row r="16" spans="1:16" ht="25.5" x14ac:dyDescent="0.2">
      <c r="A16" s="96" t="s">
        <v>119</v>
      </c>
      <c r="B16" s="157" t="s">
        <v>120</v>
      </c>
      <c r="C16" s="95"/>
      <c r="D16" s="56">
        <v>39891763</v>
      </c>
      <c r="E16" s="56">
        <v>0</v>
      </c>
      <c r="F16" s="30">
        <f>+D16-E16</f>
        <v>39891763</v>
      </c>
      <c r="G16" s="57" t="s">
        <v>6</v>
      </c>
      <c r="H16" s="85">
        <v>-1993950</v>
      </c>
      <c r="I16" s="9">
        <v>-4108800</v>
      </c>
      <c r="J16" s="17">
        <v>-1540400</v>
      </c>
      <c r="K16" s="9">
        <f t="shared" si="2"/>
        <v>26497807454</v>
      </c>
      <c r="L16" s="9">
        <f t="shared" si="3"/>
        <v>26490164304</v>
      </c>
      <c r="P16" s="9">
        <f t="shared" si="4"/>
        <v>0</v>
      </c>
    </row>
    <row r="17" spans="1:16" ht="3.75" hidden="1" customHeight="1" x14ac:dyDescent="0.25">
      <c r="A17" s="96"/>
      <c r="B17" s="50"/>
      <c r="C17" s="284"/>
      <c r="D17" s="13"/>
      <c r="E17" s="51"/>
      <c r="F17" s="30"/>
      <c r="G17" s="99"/>
      <c r="H17" s="17"/>
      <c r="I17" s="9"/>
      <c r="J17" s="17"/>
      <c r="K17" s="9">
        <f t="shared" si="2"/>
        <v>26490164304</v>
      </c>
      <c r="L17" s="9"/>
      <c r="P17" s="9">
        <f t="shared" si="4"/>
        <v>-26490164304</v>
      </c>
    </row>
    <row r="18" spans="1:16" ht="15.75" customHeight="1" x14ac:dyDescent="0.2">
      <c r="A18" s="101">
        <v>44</v>
      </c>
      <c r="B18" s="4" t="s">
        <v>121</v>
      </c>
      <c r="C18" s="95" t="s">
        <v>231</v>
      </c>
      <c r="D18" s="51">
        <f>+D19</f>
        <v>26490164304</v>
      </c>
      <c r="E18" s="51">
        <f>+E19</f>
        <v>66651139066</v>
      </c>
      <c r="F18" s="51">
        <f>+F19</f>
        <v>-40160974762</v>
      </c>
      <c r="G18" s="98">
        <f>+F18/E18</f>
        <v>-0.60255496492312566</v>
      </c>
      <c r="H18" s="85">
        <v>6452609021</v>
      </c>
      <c r="I18" s="9">
        <v>2303483948</v>
      </c>
      <c r="J18" s="17">
        <v>7506641724.2900009</v>
      </c>
      <c r="K18" s="9">
        <f>+D22-H18-I18-J18</f>
        <v>-16262734693.290001</v>
      </c>
      <c r="L18" s="9">
        <f t="shared" si="3"/>
        <v>0</v>
      </c>
      <c r="M18" s="29">
        <f>+$D$22/$D$10*100</f>
        <v>0</v>
      </c>
      <c r="P18" s="9">
        <f>+L18-D22</f>
        <v>0</v>
      </c>
    </row>
    <row r="19" spans="1:16" ht="18" customHeight="1" x14ac:dyDescent="0.2">
      <c r="A19" s="102" t="s">
        <v>122</v>
      </c>
      <c r="B19" s="6" t="s">
        <v>50</v>
      </c>
      <c r="C19" s="95"/>
      <c r="D19" s="194">
        <v>26490164304</v>
      </c>
      <c r="E19" s="194">
        <f>59320993825+7330145241</f>
        <v>66651139066</v>
      </c>
      <c r="F19" s="30">
        <f>+D19-E19</f>
        <v>-40160974762</v>
      </c>
      <c r="G19" s="57">
        <f>+F19/E19</f>
        <v>-0.60255496492312566</v>
      </c>
      <c r="H19" s="85">
        <v>6446078735</v>
      </c>
      <c r="I19" s="9">
        <v>2291016743</v>
      </c>
      <c r="J19" s="17">
        <v>7497284163.2900009</v>
      </c>
      <c r="K19" s="9">
        <f>+D23-H19-I19-J19</f>
        <v>-16234379641.290001</v>
      </c>
      <c r="L19" s="9">
        <f t="shared" si="3"/>
        <v>0</v>
      </c>
      <c r="P19" s="9">
        <f>+L19-D23</f>
        <v>0</v>
      </c>
    </row>
    <row r="20" spans="1:16" ht="18" customHeight="1" x14ac:dyDescent="0.2">
      <c r="A20" s="101">
        <v>47</v>
      </c>
      <c r="B20" s="4" t="s">
        <v>194</v>
      </c>
      <c r="C20" s="95" t="s">
        <v>277</v>
      </c>
      <c r="D20" s="51">
        <f>+D21</f>
        <v>180292364303</v>
      </c>
      <c r="E20" s="51">
        <f>+E21</f>
        <v>151909108719</v>
      </c>
      <c r="F20" s="51">
        <f>+F21</f>
        <v>28383255584</v>
      </c>
      <c r="G20" s="98">
        <f>+F20/E20</f>
        <v>0.18684367134628557</v>
      </c>
      <c r="H20" s="85"/>
      <c r="I20" s="9"/>
      <c r="J20" s="17"/>
      <c r="K20" s="9"/>
      <c r="L20" s="9"/>
      <c r="P20" s="9"/>
    </row>
    <row r="21" spans="1:16" ht="18" customHeight="1" x14ac:dyDescent="0.2">
      <c r="A21" s="96">
        <v>4705</v>
      </c>
      <c r="B21" s="7" t="s">
        <v>195</v>
      </c>
      <c r="C21" s="95"/>
      <c r="D21" s="194">
        <f>183904908453-3612544150</f>
        <v>180292364303</v>
      </c>
      <c r="E21" s="194">
        <v>151909108719</v>
      </c>
      <c r="F21" s="30">
        <f>+D21-E21</f>
        <v>28383255584</v>
      </c>
      <c r="G21" s="57">
        <f>+F21/E21</f>
        <v>0.18684367134628557</v>
      </c>
      <c r="H21" s="85"/>
      <c r="I21" s="9"/>
      <c r="J21" s="17"/>
      <c r="K21" s="9"/>
      <c r="L21" s="9"/>
      <c r="P21" s="9"/>
    </row>
    <row r="22" spans="1:16" ht="0.75" customHeight="1" x14ac:dyDescent="0.2">
      <c r="A22" s="103"/>
      <c r="B22" s="77"/>
      <c r="C22" s="95"/>
      <c r="D22" s="56"/>
      <c r="E22" s="56"/>
      <c r="F22" s="30"/>
      <c r="G22" s="57"/>
      <c r="H22" s="85">
        <v>6530286</v>
      </c>
      <c r="I22" s="9">
        <v>12467205</v>
      </c>
      <c r="J22" s="17">
        <v>9357561</v>
      </c>
      <c r="K22" s="9">
        <f>+D24-H22-I22-J22</f>
        <v>63033881635.420006</v>
      </c>
      <c r="L22" s="9">
        <f t="shared" si="3"/>
        <v>63062236687.420006</v>
      </c>
      <c r="P22" s="9">
        <f>+L22-D24</f>
        <v>0</v>
      </c>
    </row>
    <row r="23" spans="1:16" ht="15.75" customHeight="1" x14ac:dyDescent="0.2">
      <c r="A23" s="96"/>
      <c r="B23" s="179" t="s">
        <v>123</v>
      </c>
      <c r="C23" s="146" t="s">
        <v>233</v>
      </c>
      <c r="D23" s="179"/>
      <c r="E23" s="51"/>
      <c r="F23" s="30"/>
      <c r="G23" s="99"/>
      <c r="H23" s="61"/>
      <c r="I23" s="9"/>
      <c r="J23" s="17"/>
      <c r="K23" s="9">
        <f t="shared" si="2"/>
        <v>51438893906.910004</v>
      </c>
      <c r="L23" s="9"/>
      <c r="M23" s="29">
        <f>+$D$25/$D$10*100</f>
        <v>18.858043837394646</v>
      </c>
      <c r="P23" s="9">
        <f t="shared" si="4"/>
        <v>-51438893906.910004</v>
      </c>
    </row>
    <row r="24" spans="1:16" ht="15" customHeight="1" x14ac:dyDescent="0.2">
      <c r="A24" s="101">
        <v>43</v>
      </c>
      <c r="B24" s="4" t="s">
        <v>47</v>
      </c>
      <c r="C24" s="95" t="s">
        <v>247</v>
      </c>
      <c r="D24" s="52">
        <f>SUM(D25:D27)</f>
        <v>63062236687.420006</v>
      </c>
      <c r="E24" s="52">
        <f>SUM(E25:E27)</f>
        <v>55173675971.5</v>
      </c>
      <c r="F24" s="52">
        <f t="shared" ref="F24" si="5">SUM(F25:F27)</f>
        <v>7888560715.9200058</v>
      </c>
      <c r="G24" s="98">
        <f t="shared" ref="G24" si="6">+F24/E24</f>
        <v>0.14297689209605768</v>
      </c>
      <c r="H24" s="85">
        <v>15345357499</v>
      </c>
      <c r="I24" s="9">
        <v>13860099567</v>
      </c>
      <c r="J24" s="17">
        <v>11650399210</v>
      </c>
      <c r="K24" s="9">
        <f t="shared" si="2"/>
        <v>-29232513495.489998</v>
      </c>
      <c r="L24" s="9">
        <f t="shared" si="3"/>
        <v>11623342780.510002</v>
      </c>
      <c r="M24" s="29">
        <f>+$D$26/$D$10*100</f>
        <v>4.2612406885848095</v>
      </c>
      <c r="P24" s="9">
        <f t="shared" si="4"/>
        <v>0</v>
      </c>
    </row>
    <row r="25" spans="1:16" ht="16.5" customHeight="1" x14ac:dyDescent="0.2">
      <c r="A25" s="104" t="s">
        <v>124</v>
      </c>
      <c r="B25" s="7" t="s">
        <v>48</v>
      </c>
      <c r="C25" s="95"/>
      <c r="D25" s="194">
        <f>47826349756.91+3612544150</f>
        <v>51438893906.910004</v>
      </c>
      <c r="E25" s="194">
        <v>49925065300.349998</v>
      </c>
      <c r="F25" s="30">
        <f>+D25-E25</f>
        <v>1513828606.5600052</v>
      </c>
      <c r="G25" s="57">
        <f>+F25/E25</f>
        <v>3.0322015553766186E-2</v>
      </c>
      <c r="H25" s="85">
        <v>15345357499</v>
      </c>
      <c r="I25" s="9">
        <v>13860099567</v>
      </c>
      <c r="J25" s="17">
        <v>11650399210</v>
      </c>
      <c r="K25" s="9">
        <f t="shared" si="2"/>
        <v>-40855856276</v>
      </c>
      <c r="L25" s="9">
        <f t="shared" si="3"/>
        <v>0</v>
      </c>
      <c r="P25" s="9">
        <f t="shared" si="4"/>
        <v>0</v>
      </c>
    </row>
    <row r="26" spans="1:16" ht="16.5" customHeight="1" x14ac:dyDescent="0.2">
      <c r="A26" s="104" t="s">
        <v>125</v>
      </c>
      <c r="B26" s="7" t="s">
        <v>49</v>
      </c>
      <c r="C26" s="95"/>
      <c r="D26" s="194">
        <v>11623342780.51</v>
      </c>
      <c r="E26" s="194">
        <v>5248610671.1499996</v>
      </c>
      <c r="F26" s="30">
        <f>+D26-E26</f>
        <v>6374732109.3600006</v>
      </c>
      <c r="G26" s="57">
        <f>+F26/E26</f>
        <v>1.2145561004171912</v>
      </c>
      <c r="H26" s="17"/>
      <c r="I26" s="9"/>
      <c r="J26" s="17"/>
      <c r="K26" s="9">
        <f t="shared" si="2"/>
        <v>144950169.40000001</v>
      </c>
      <c r="L26" s="9"/>
      <c r="M26" s="29">
        <f>+$D$28/$D$10*100</f>
        <v>5.3140268796016639E-2</v>
      </c>
      <c r="P26" s="9">
        <f t="shared" si="4"/>
        <v>-144950169.40000001</v>
      </c>
    </row>
    <row r="27" spans="1:16" ht="1.5" customHeight="1" x14ac:dyDescent="0.2">
      <c r="A27" s="104"/>
      <c r="B27" s="157"/>
      <c r="C27" s="66"/>
      <c r="D27" s="194"/>
      <c r="E27" s="194"/>
      <c r="F27" s="30"/>
      <c r="G27" s="57"/>
      <c r="H27" s="85"/>
      <c r="I27" s="9"/>
      <c r="J27" s="17"/>
      <c r="K27" s="9"/>
      <c r="L27" s="9"/>
      <c r="P27" s="9"/>
    </row>
    <row r="28" spans="1:16" ht="18" customHeight="1" x14ac:dyDescent="0.2">
      <c r="A28" s="101">
        <v>42</v>
      </c>
      <c r="B28" s="4" t="s">
        <v>127</v>
      </c>
      <c r="C28" s="95" t="s">
        <v>248</v>
      </c>
      <c r="D28" s="51">
        <f>SUM(D29:D30)</f>
        <v>144950169.40000001</v>
      </c>
      <c r="E28" s="51">
        <f>SUM(E29:E30)</f>
        <v>117743786</v>
      </c>
      <c r="F28" s="51">
        <f>SUM(F29:F30)</f>
        <v>27206383.400000006</v>
      </c>
      <c r="G28" s="98">
        <f t="shared" ref="G28" si="7">+F28/E28</f>
        <v>0.23106428223736586</v>
      </c>
      <c r="H28" s="18"/>
      <c r="I28" s="9"/>
      <c r="J28" s="17"/>
      <c r="K28" s="9">
        <f>+D29-H28-I28-J28</f>
        <v>190149989.40000001</v>
      </c>
      <c r="L28" s="9"/>
      <c r="P28" s="9">
        <f>+L28-D29</f>
        <v>-190149989.40000001</v>
      </c>
    </row>
    <row r="29" spans="1:16" ht="17.25" customHeight="1" x14ac:dyDescent="0.2">
      <c r="A29" s="104" t="s">
        <v>128</v>
      </c>
      <c r="B29" s="58" t="s">
        <v>46</v>
      </c>
      <c r="C29" s="66"/>
      <c r="D29" s="194">
        <v>190149989.40000001</v>
      </c>
      <c r="E29" s="194">
        <v>163601118</v>
      </c>
      <c r="F29" s="30">
        <f>+D29-E29</f>
        <v>26548871.400000006</v>
      </c>
      <c r="G29" s="57">
        <f t="shared" ref="G29:G30" si="8">+F29/E29</f>
        <v>0.16227805607049706</v>
      </c>
      <c r="H29" s="18"/>
      <c r="I29" s="9"/>
      <c r="J29" s="17"/>
      <c r="K29" s="9"/>
      <c r="L29" s="9"/>
      <c r="P29" s="9"/>
    </row>
    <row r="30" spans="1:16" ht="24.75" customHeight="1" x14ac:dyDescent="0.2">
      <c r="A30" s="104">
        <v>4295</v>
      </c>
      <c r="B30" s="157" t="s">
        <v>170</v>
      </c>
      <c r="C30" s="176"/>
      <c r="D30" s="194">
        <v>-45199820</v>
      </c>
      <c r="E30" s="194">
        <v>-45857332</v>
      </c>
      <c r="F30" s="30">
        <f>+D30-E30</f>
        <v>657512</v>
      </c>
      <c r="G30" s="57">
        <f t="shared" si="8"/>
        <v>-1.433820877324481E-2</v>
      </c>
      <c r="H30" s="17"/>
      <c r="I30" s="9"/>
      <c r="J30" s="17"/>
      <c r="K30" s="9" t="e">
        <f>+#REF!-H30-I30-J30</f>
        <v>#REF!</v>
      </c>
      <c r="L30" s="9"/>
      <c r="P30" s="9" t="e">
        <f>+L30-#REF!</f>
        <v>#REF!</v>
      </c>
    </row>
    <row r="31" spans="1:16" ht="2.25" customHeight="1" x14ac:dyDescent="0.2">
      <c r="A31" s="104"/>
      <c r="B31" s="58"/>
      <c r="C31" s="66"/>
      <c r="D31" s="56"/>
      <c r="E31" s="56"/>
      <c r="F31" s="30"/>
      <c r="G31" s="57"/>
      <c r="H31" s="85">
        <v>10464180802.92</v>
      </c>
      <c r="I31" s="9">
        <v>15731513952.08</v>
      </c>
      <c r="J31" s="17">
        <v>11844660121.180002</v>
      </c>
      <c r="K31" s="9">
        <f>+D32-H31-I31-J31</f>
        <v>135095581814.27</v>
      </c>
      <c r="L31" s="9">
        <f t="shared" si="3"/>
        <v>173135936690.45001</v>
      </c>
      <c r="M31" s="31">
        <f>+$D$32/$D$32*100</f>
        <v>100</v>
      </c>
      <c r="N31" s="63">
        <f>+$D$32+$D$39+$D$64</f>
        <v>196101936084.02002</v>
      </c>
      <c r="P31" s="9">
        <f>+L31-D32</f>
        <v>0</v>
      </c>
    </row>
    <row r="32" spans="1:16" ht="20.25" customHeight="1" x14ac:dyDescent="0.25">
      <c r="A32" s="175">
        <v>6</v>
      </c>
      <c r="B32" s="187" t="s">
        <v>51</v>
      </c>
      <c r="C32" s="146">
        <v>31</v>
      </c>
      <c r="D32" s="131">
        <f>+D34+D37</f>
        <v>173135936690.45001</v>
      </c>
      <c r="E32" s="131">
        <f t="shared" ref="E32:F32" si="9">+E34+E37</f>
        <v>151850187538.51999</v>
      </c>
      <c r="F32" s="131">
        <f t="shared" si="9"/>
        <v>21285749151.930004</v>
      </c>
      <c r="G32" s="132">
        <f>+F32/E32</f>
        <v>0.14017598197914921</v>
      </c>
      <c r="H32" s="85">
        <v>642755620</v>
      </c>
      <c r="I32" s="9">
        <v>783667031</v>
      </c>
      <c r="J32" s="17">
        <v>789034192.30000019</v>
      </c>
      <c r="K32" s="9">
        <f>+D34-H32-I32-J32</f>
        <v>-2140436479.8800001</v>
      </c>
      <c r="L32" s="9">
        <f t="shared" si="3"/>
        <v>75020363.420000076</v>
      </c>
      <c r="M32" s="29">
        <f>+$D$34/$D$32*100</f>
        <v>4.333032463048328E-2</v>
      </c>
      <c r="N32" s="29">
        <f>+$D$32/$N$31*100</f>
        <v>88.288744184692689</v>
      </c>
      <c r="P32" s="9">
        <f>+L32-D34</f>
        <v>0</v>
      </c>
    </row>
    <row r="33" spans="1:16" ht="1.5" customHeight="1" x14ac:dyDescent="0.25">
      <c r="A33" s="101"/>
      <c r="B33" s="54"/>
      <c r="C33" s="174"/>
      <c r="D33" s="51"/>
      <c r="E33" s="51"/>
      <c r="F33" s="51"/>
      <c r="G33" s="98"/>
      <c r="H33" s="85">
        <v>552422371.75999999</v>
      </c>
      <c r="I33" s="9">
        <v>1197919031.24</v>
      </c>
      <c r="J33" s="17">
        <v>807719924.30999994</v>
      </c>
      <c r="K33" s="9">
        <f>+D35-H33-I33-J33</f>
        <v>-2483040963.8899999</v>
      </c>
      <c r="L33" s="9">
        <f t="shared" si="3"/>
        <v>75020363.420000076</v>
      </c>
      <c r="M33" s="29">
        <f>+$D$35/$D$32*100</f>
        <v>4.333032463048328E-2</v>
      </c>
      <c r="N33" s="29"/>
      <c r="P33" s="9">
        <f>+L33-D35</f>
        <v>0</v>
      </c>
    </row>
    <row r="34" spans="1:16" ht="18" customHeight="1" x14ac:dyDescent="0.2">
      <c r="A34" s="101">
        <v>62</v>
      </c>
      <c r="B34" s="4" t="s">
        <v>52</v>
      </c>
      <c r="C34" s="95" t="s">
        <v>249</v>
      </c>
      <c r="D34" s="51">
        <f>SUM(D35:D35)</f>
        <v>75020363.420000002</v>
      </c>
      <c r="E34" s="51">
        <f>SUM(E35:E35)</f>
        <v>71722671.150000006</v>
      </c>
      <c r="F34" s="51">
        <f>SUM(F35:F35)</f>
        <v>3297692.2699999958</v>
      </c>
      <c r="G34" s="98">
        <f>+F34/E34</f>
        <v>4.5978380575135556E-2</v>
      </c>
      <c r="H34" s="85">
        <v>6783518446.6300001</v>
      </c>
      <c r="I34" s="9">
        <v>10091715879.369999</v>
      </c>
      <c r="J34" s="17">
        <v>7013295588.6100006</v>
      </c>
      <c r="K34" s="9">
        <f>+D36-H34-I34-J34</f>
        <v>-23888529914.610001</v>
      </c>
      <c r="L34" s="9">
        <f t="shared" si="3"/>
        <v>0</v>
      </c>
      <c r="M34" s="29">
        <f>+$D$36/$D$32*100</f>
        <v>0</v>
      </c>
      <c r="N34" s="29"/>
      <c r="P34" s="9">
        <f>+L34-D36</f>
        <v>0</v>
      </c>
    </row>
    <row r="35" spans="1:16" ht="16.5" customHeight="1" x14ac:dyDescent="0.2">
      <c r="A35" s="104">
        <v>6210</v>
      </c>
      <c r="B35" s="58" t="s">
        <v>46</v>
      </c>
      <c r="C35" s="95"/>
      <c r="D35" s="194">
        <v>75020363.420000002</v>
      </c>
      <c r="E35" s="194">
        <v>71722671.150000006</v>
      </c>
      <c r="F35" s="30">
        <f>+D35-E35</f>
        <v>3297692.2699999958</v>
      </c>
      <c r="G35" s="57">
        <f>+F35/E35</f>
        <v>4.5978380575135556E-2</v>
      </c>
      <c r="H35" s="85">
        <v>1021178656.34</v>
      </c>
      <c r="I35" s="9">
        <v>1325904338.6599998</v>
      </c>
      <c r="J35" s="17">
        <v>1014725204.25</v>
      </c>
      <c r="K35" s="9">
        <f>+D37-H35-I35-J35</f>
        <v>169699108127.78</v>
      </c>
      <c r="L35" s="9">
        <f t="shared" si="3"/>
        <v>173060916327.03</v>
      </c>
      <c r="M35" s="29">
        <f>+$D$37/$D$32*100</f>
        <v>99.956669675369511</v>
      </c>
      <c r="N35" s="29"/>
      <c r="P35" s="9">
        <f>+L35-D37</f>
        <v>0</v>
      </c>
    </row>
    <row r="36" spans="1:16" ht="2.25" customHeight="1" x14ac:dyDescent="0.2">
      <c r="A36" s="104"/>
      <c r="B36" s="62"/>
      <c r="C36" s="67"/>
      <c r="D36" s="18"/>
      <c r="E36" s="30"/>
      <c r="F36" s="30"/>
      <c r="G36" s="57"/>
      <c r="H36" s="85">
        <v>767793728.62</v>
      </c>
      <c r="I36" s="9">
        <v>1210684351.3800001</v>
      </c>
      <c r="J36" s="17">
        <v>1150415184.9299998</v>
      </c>
      <c r="K36" s="9" t="e">
        <f>+#REF!-H36-I36-J36</f>
        <v>#REF!</v>
      </c>
      <c r="L36" s="9" t="e">
        <f t="shared" si="3"/>
        <v>#REF!</v>
      </c>
      <c r="M36" s="29" t="e">
        <f>+#REF!/$D$32*100</f>
        <v>#REF!</v>
      </c>
      <c r="N36" s="29"/>
      <c r="P36" s="9" t="e">
        <f>+L36-#REF!</f>
        <v>#REF!</v>
      </c>
    </row>
    <row r="37" spans="1:16" ht="16.5" customHeight="1" x14ac:dyDescent="0.2">
      <c r="A37" s="101">
        <v>63</v>
      </c>
      <c r="B37" s="55" t="s">
        <v>129</v>
      </c>
      <c r="C37" s="68" t="s">
        <v>250</v>
      </c>
      <c r="D37" s="52">
        <f>SUM(D38:D39)</f>
        <v>173060916327.03</v>
      </c>
      <c r="E37" s="52">
        <f>SUM(E38:E39)</f>
        <v>151778464867.37</v>
      </c>
      <c r="F37" s="52">
        <f>SUM(F38:F39)</f>
        <v>21282451459.660004</v>
      </c>
      <c r="G37" s="98">
        <f>+F37/E37</f>
        <v>0.14022049490523869</v>
      </c>
      <c r="H37" s="85">
        <v>566300307.63999999</v>
      </c>
      <c r="I37" s="9">
        <v>924675414.36000001</v>
      </c>
      <c r="J37" s="17">
        <v>869444936.21000016</v>
      </c>
      <c r="K37" s="9" t="e">
        <f>+#REF!-H37-I37-J37</f>
        <v>#REF!</v>
      </c>
      <c r="L37" s="9" t="e">
        <f t="shared" si="3"/>
        <v>#REF!</v>
      </c>
      <c r="M37" s="29" t="e">
        <f>+#REF!/$D$32*100</f>
        <v>#REF!</v>
      </c>
      <c r="N37" s="29"/>
      <c r="P37" s="9" t="e">
        <f>+L37-#REF!</f>
        <v>#REF!</v>
      </c>
    </row>
    <row r="38" spans="1:16" ht="15.75" customHeight="1" x14ac:dyDescent="0.2">
      <c r="A38" s="104">
        <v>6305</v>
      </c>
      <c r="B38" s="7" t="s">
        <v>48</v>
      </c>
      <c r="C38" s="68"/>
      <c r="D38" s="194">
        <v>173060916327.03</v>
      </c>
      <c r="E38" s="194">
        <v>151778464867.37</v>
      </c>
      <c r="F38" s="30">
        <f>+D38-E38</f>
        <v>21282451459.660004</v>
      </c>
      <c r="G38" s="57">
        <f>+F38/E38</f>
        <v>0.14022049490523869</v>
      </c>
      <c r="H38" s="17"/>
      <c r="I38" s="9"/>
      <c r="J38" s="17"/>
      <c r="K38" s="9">
        <f t="shared" si="0"/>
        <v>173060916327.03</v>
      </c>
      <c r="L38" s="9"/>
      <c r="N38" s="29"/>
      <c r="P38" s="9">
        <f t="shared" si="1"/>
        <v>-173060916327.03</v>
      </c>
    </row>
    <row r="39" spans="1:16" ht="2.25" hidden="1" customHeight="1" x14ac:dyDescent="0.2">
      <c r="A39" s="104"/>
      <c r="B39" s="7"/>
      <c r="C39" s="66"/>
      <c r="D39" s="56"/>
      <c r="E39" s="56"/>
      <c r="F39" s="30"/>
      <c r="G39" s="57"/>
      <c r="H39" s="85">
        <v>3932411064.6500001</v>
      </c>
      <c r="I39" s="9">
        <v>6353337173.3500004</v>
      </c>
      <c r="J39" s="17">
        <v>6643372948.0799999</v>
      </c>
      <c r="K39" s="9">
        <f t="shared" si="0"/>
        <v>-16929121186.08</v>
      </c>
      <c r="L39" s="9">
        <f t="shared" si="3"/>
        <v>0</v>
      </c>
      <c r="N39" s="29">
        <f>+$D$39/$N$31*100</f>
        <v>0</v>
      </c>
      <c r="P39" s="9">
        <f t="shared" si="1"/>
        <v>0</v>
      </c>
    </row>
    <row r="40" spans="1:16" ht="21.75" customHeight="1" x14ac:dyDescent="0.25">
      <c r="A40" s="175">
        <v>5</v>
      </c>
      <c r="B40" s="187" t="s">
        <v>53</v>
      </c>
      <c r="C40" s="146">
        <v>30</v>
      </c>
      <c r="D40" s="131">
        <f>+D42+D52</f>
        <v>81874546868.700012</v>
      </c>
      <c r="E40" s="131">
        <f>+E42+E52</f>
        <v>69208761313.300003</v>
      </c>
      <c r="F40" s="131">
        <f>+F42+F52</f>
        <v>12665785555.400002</v>
      </c>
      <c r="G40" s="132">
        <f>+F40/E40</f>
        <v>0.18300841273640869</v>
      </c>
      <c r="H40" s="17"/>
      <c r="I40" s="9"/>
      <c r="J40" s="17"/>
      <c r="K40" s="9" t="e">
        <f>+#REF!-H40-I40-J40</f>
        <v>#REF!</v>
      </c>
      <c r="L40" s="9"/>
      <c r="P40" s="9" t="e">
        <f>+L40-#REF!</f>
        <v>#REF!</v>
      </c>
    </row>
    <row r="41" spans="1:16" ht="0.75" customHeight="1" x14ac:dyDescent="0.25">
      <c r="A41" s="96"/>
      <c r="B41" s="50"/>
      <c r="C41" s="34"/>
      <c r="D41" s="13"/>
      <c r="E41" s="51"/>
      <c r="F41" s="30"/>
      <c r="G41" s="57"/>
      <c r="H41" s="85">
        <v>3838835701.6399999</v>
      </c>
      <c r="I41" s="9">
        <v>5932212511.3600006</v>
      </c>
      <c r="J41" s="17">
        <v>6538796787.4899998</v>
      </c>
      <c r="K41" s="9" t="e">
        <f>+#REF!-H41-I41-J41</f>
        <v>#REF!</v>
      </c>
      <c r="L41" s="9" t="e">
        <f t="shared" si="3"/>
        <v>#REF!</v>
      </c>
      <c r="M41" s="31" t="e">
        <f>+#REF!/#REF!*100</f>
        <v>#REF!</v>
      </c>
      <c r="P41" s="9" t="e">
        <f>+L41-#REF!</f>
        <v>#REF!</v>
      </c>
    </row>
    <row r="42" spans="1:16" ht="20.25" customHeight="1" x14ac:dyDescent="0.2">
      <c r="A42" s="101">
        <v>51</v>
      </c>
      <c r="B42" s="55" t="s">
        <v>54</v>
      </c>
      <c r="C42" s="146" t="s">
        <v>227</v>
      </c>
      <c r="D42" s="51">
        <f>SUM(D43:D50)</f>
        <v>79079133726.87001</v>
      </c>
      <c r="E42" s="51">
        <f>SUM(E43:E50)</f>
        <v>66655528691.450005</v>
      </c>
      <c r="F42" s="51">
        <f>SUM(F43:F50)</f>
        <v>12423605035.420002</v>
      </c>
      <c r="G42" s="98">
        <f>+F42/E42</f>
        <v>0.1863852148398546</v>
      </c>
      <c r="H42" s="85">
        <v>1621519242.53</v>
      </c>
      <c r="I42" s="9">
        <v>2245454619.4700003</v>
      </c>
      <c r="J42" s="17">
        <v>2320179046.9200001</v>
      </c>
      <c r="K42" s="9" t="e">
        <f>+#REF!-H42-I42-J42</f>
        <v>#REF!</v>
      </c>
      <c r="L42" s="9" t="e">
        <f t="shared" si="3"/>
        <v>#REF!</v>
      </c>
      <c r="M42" s="29" t="e">
        <f>+#REF!/#REF!*100</f>
        <v>#REF!</v>
      </c>
      <c r="P42" s="9" t="e">
        <f>+L42-#REF!</f>
        <v>#REF!</v>
      </c>
    </row>
    <row r="43" spans="1:16" ht="15.95" customHeight="1" x14ac:dyDescent="0.2">
      <c r="A43" s="104" t="s">
        <v>130</v>
      </c>
      <c r="B43" s="7" t="s">
        <v>131</v>
      </c>
      <c r="C43" s="95" t="s">
        <v>251</v>
      </c>
      <c r="D43" s="194">
        <v>22422857947.59</v>
      </c>
      <c r="E43" s="194">
        <v>20263986843.07</v>
      </c>
      <c r="F43" s="30">
        <f t="shared" ref="F43:F50" si="10">+D43-E43</f>
        <v>2158871104.5200005</v>
      </c>
      <c r="G43" s="57">
        <f t="shared" ref="G43:G50" si="11">+F43/E43</f>
        <v>0.10653733252192198</v>
      </c>
      <c r="H43" s="85">
        <v>6920376</v>
      </c>
      <c r="I43" s="9">
        <v>30724349</v>
      </c>
      <c r="J43" s="17">
        <v>63890050</v>
      </c>
      <c r="K43" s="9" t="e">
        <f>+#REF!-H43-I43-J43</f>
        <v>#REF!</v>
      </c>
      <c r="L43" s="9" t="e">
        <f t="shared" si="3"/>
        <v>#REF!</v>
      </c>
      <c r="M43" s="29" t="e">
        <f>+#REF!/#REF!*100</f>
        <v>#REF!</v>
      </c>
      <c r="P43" s="9" t="e">
        <f>+L43-#REF!</f>
        <v>#REF!</v>
      </c>
    </row>
    <row r="44" spans="1:16" ht="15.95" customHeight="1" x14ac:dyDescent="0.2">
      <c r="A44" s="104" t="s">
        <v>132</v>
      </c>
      <c r="B44" s="7" t="s">
        <v>55</v>
      </c>
      <c r="C44" s="95" t="s">
        <v>252</v>
      </c>
      <c r="D44" s="194">
        <v>297583834.13</v>
      </c>
      <c r="E44" s="194">
        <v>318494215.04000002</v>
      </c>
      <c r="F44" s="30">
        <f t="shared" si="10"/>
        <v>-20910380.910000026</v>
      </c>
      <c r="G44" s="57">
        <f t="shared" si="11"/>
        <v>-6.5653879796133408E-2</v>
      </c>
      <c r="H44" s="85">
        <v>352960356</v>
      </c>
      <c r="I44" s="9">
        <v>384494656</v>
      </c>
      <c r="J44" s="17">
        <v>383013740</v>
      </c>
      <c r="K44" s="9">
        <f t="shared" ref="K44:K47" si="12">+D40-H44-I44-J44</f>
        <v>80754078116.700012</v>
      </c>
      <c r="L44" s="9">
        <f t="shared" si="3"/>
        <v>81874546868.700012</v>
      </c>
      <c r="M44" s="29" t="e">
        <f>+$D$40/#REF!*100</f>
        <v>#REF!</v>
      </c>
      <c r="P44" s="9">
        <f t="shared" ref="P44:P47" si="13">+L44-D40</f>
        <v>0</v>
      </c>
    </row>
    <row r="45" spans="1:16" ht="15.95" customHeight="1" x14ac:dyDescent="0.2">
      <c r="A45" s="104" t="s">
        <v>133</v>
      </c>
      <c r="B45" s="7" t="s">
        <v>134</v>
      </c>
      <c r="C45" s="95" t="s">
        <v>253</v>
      </c>
      <c r="D45" s="194">
        <v>5693440517</v>
      </c>
      <c r="E45" s="194">
        <v>5103302110</v>
      </c>
      <c r="F45" s="30">
        <f t="shared" si="10"/>
        <v>590138407</v>
      </c>
      <c r="G45" s="57">
        <f t="shared" si="11"/>
        <v>0.1156385403567652</v>
      </c>
      <c r="H45" s="85">
        <v>39254600</v>
      </c>
      <c r="I45" s="9">
        <v>60021800</v>
      </c>
      <c r="J45" s="17">
        <v>51807000</v>
      </c>
      <c r="K45" s="9">
        <f t="shared" si="12"/>
        <v>-151083400</v>
      </c>
      <c r="L45" s="9">
        <f t="shared" si="3"/>
        <v>0</v>
      </c>
      <c r="M45" s="29" t="e">
        <f>+$D$41/#REF!*100</f>
        <v>#REF!</v>
      </c>
      <c r="P45" s="9">
        <f t="shared" si="13"/>
        <v>0</v>
      </c>
    </row>
    <row r="46" spans="1:16" ht="15.95" customHeight="1" x14ac:dyDescent="0.2">
      <c r="A46" s="104" t="s">
        <v>135</v>
      </c>
      <c r="B46" s="7" t="s">
        <v>136</v>
      </c>
      <c r="C46" s="95" t="s">
        <v>254</v>
      </c>
      <c r="D46" s="194">
        <v>631233582</v>
      </c>
      <c r="E46" s="194">
        <v>544575119</v>
      </c>
      <c r="F46" s="30">
        <f t="shared" si="10"/>
        <v>86658463</v>
      </c>
      <c r="G46" s="57">
        <f t="shared" si="11"/>
        <v>0.15913041190557956</v>
      </c>
      <c r="H46" s="85">
        <v>1243762868.1099999</v>
      </c>
      <c r="I46" s="9">
        <v>2421688351.8900003</v>
      </c>
      <c r="J46" s="17">
        <v>3484033513.9099998</v>
      </c>
      <c r="K46" s="9">
        <f t="shared" si="12"/>
        <v>71929648992.960007</v>
      </c>
      <c r="L46" s="9">
        <f t="shared" si="3"/>
        <v>79079133726.87001</v>
      </c>
      <c r="M46" s="29" t="e">
        <f>+$D$42/#REF!*100</f>
        <v>#REF!</v>
      </c>
      <c r="P46" s="9">
        <f t="shared" si="13"/>
        <v>0</v>
      </c>
    </row>
    <row r="47" spans="1:16" ht="15" customHeight="1" x14ac:dyDescent="0.2">
      <c r="A47" s="104" t="s">
        <v>137</v>
      </c>
      <c r="B47" s="7" t="s">
        <v>138</v>
      </c>
      <c r="C47" s="95" t="s">
        <v>255</v>
      </c>
      <c r="D47" s="194">
        <v>10380892574.41</v>
      </c>
      <c r="E47" s="194">
        <v>9151741151.1200008</v>
      </c>
      <c r="F47" s="30">
        <f t="shared" si="10"/>
        <v>1229151423.289999</v>
      </c>
      <c r="G47" s="57">
        <f t="shared" si="11"/>
        <v>0.13430793146280956</v>
      </c>
      <c r="H47" s="85">
        <v>574418259</v>
      </c>
      <c r="I47" s="9">
        <v>789828735</v>
      </c>
      <c r="J47" s="17">
        <v>235873436.66000009</v>
      </c>
      <c r="K47" s="9">
        <f t="shared" si="12"/>
        <v>20822737516.93</v>
      </c>
      <c r="L47" s="9">
        <f t="shared" si="3"/>
        <v>22422857947.59</v>
      </c>
      <c r="M47" s="29" t="e">
        <f>+$D$43/#REF!*100</f>
        <v>#REF!</v>
      </c>
      <c r="P47" s="9">
        <f t="shared" si="13"/>
        <v>0</v>
      </c>
    </row>
    <row r="48" spans="1:16" x14ac:dyDescent="0.2">
      <c r="A48" s="104">
        <v>5108</v>
      </c>
      <c r="B48" s="7" t="s">
        <v>157</v>
      </c>
      <c r="C48" s="95" t="s">
        <v>256</v>
      </c>
      <c r="D48" s="194">
        <v>137549053.16</v>
      </c>
      <c r="E48" s="194">
        <v>81095466.480000004</v>
      </c>
      <c r="F48" s="30">
        <f t="shared" si="10"/>
        <v>56453586.679999992</v>
      </c>
      <c r="G48" s="57">
        <f t="shared" si="11"/>
        <v>0.69613739374595907</v>
      </c>
      <c r="H48" s="85"/>
      <c r="I48" s="9"/>
      <c r="J48" s="17"/>
      <c r="K48" s="9"/>
      <c r="L48" s="9"/>
      <c r="M48" s="29"/>
      <c r="P48" s="9"/>
    </row>
    <row r="49" spans="1:16" ht="15.95" customHeight="1" x14ac:dyDescent="0.2">
      <c r="A49" s="104" t="s">
        <v>139</v>
      </c>
      <c r="B49" s="7" t="s">
        <v>56</v>
      </c>
      <c r="C49" s="95" t="s">
        <v>257</v>
      </c>
      <c r="D49" s="194">
        <v>35139855114.470001</v>
      </c>
      <c r="E49" s="194">
        <v>28461741907.889999</v>
      </c>
      <c r="F49" s="30">
        <f t="shared" si="10"/>
        <v>6678113206.5800018</v>
      </c>
      <c r="G49" s="57">
        <f t="shared" si="11"/>
        <v>0.2346347327648535</v>
      </c>
      <c r="H49" s="85">
        <v>93575363.010000005</v>
      </c>
      <c r="I49" s="9">
        <v>421124661.99000001</v>
      </c>
      <c r="J49" s="17">
        <v>104576160.58999991</v>
      </c>
      <c r="K49" s="9">
        <f>+D45-H49-I49-J49</f>
        <v>5074164331.4099998</v>
      </c>
      <c r="L49" s="9">
        <f t="shared" si="3"/>
        <v>5693440517</v>
      </c>
      <c r="P49" s="9">
        <f>+L49-D45</f>
        <v>0</v>
      </c>
    </row>
    <row r="50" spans="1:16" ht="15.95" customHeight="1" x14ac:dyDescent="0.2">
      <c r="A50" s="104" t="s">
        <v>140</v>
      </c>
      <c r="B50" s="157" t="s">
        <v>57</v>
      </c>
      <c r="C50" s="95" t="s">
        <v>258</v>
      </c>
      <c r="D50" s="194">
        <v>4375721104.1099997</v>
      </c>
      <c r="E50" s="194">
        <v>2730591878.8499999</v>
      </c>
      <c r="F50" s="30">
        <f t="shared" si="10"/>
        <v>1645129225.2599998</v>
      </c>
      <c r="G50" s="57">
        <f t="shared" si="11"/>
        <v>0.60248081670588305</v>
      </c>
      <c r="H50" s="17"/>
      <c r="I50" s="9"/>
      <c r="J50" s="17"/>
      <c r="K50" s="9">
        <f>+D46-H50-I50-J50</f>
        <v>631233582</v>
      </c>
      <c r="L50" s="9"/>
      <c r="P50" s="9">
        <f>+L50-D46</f>
        <v>-631233582</v>
      </c>
    </row>
    <row r="51" spans="1:16" ht="4.5" customHeight="1" x14ac:dyDescent="0.2">
      <c r="A51" s="104"/>
      <c r="B51" s="58"/>
      <c r="C51" s="66"/>
      <c r="D51" s="53"/>
      <c r="E51" s="53"/>
      <c r="F51" s="30"/>
      <c r="G51" s="57"/>
      <c r="H51" s="85">
        <v>0</v>
      </c>
      <c r="I51" s="9">
        <v>325346007</v>
      </c>
      <c r="J51" s="17">
        <v>8086827</v>
      </c>
      <c r="K51" s="9">
        <f>+D47-H51-I51-J51</f>
        <v>10047459740.41</v>
      </c>
      <c r="L51" s="9">
        <f t="shared" si="3"/>
        <v>10380892574.41</v>
      </c>
      <c r="P51" s="9">
        <f>+L51-D47</f>
        <v>0</v>
      </c>
    </row>
    <row r="52" spans="1:16" ht="27" customHeight="1" x14ac:dyDescent="0.2">
      <c r="A52" s="105">
        <v>53</v>
      </c>
      <c r="B52" s="158" t="s">
        <v>141</v>
      </c>
      <c r="C52" s="146" t="s">
        <v>228</v>
      </c>
      <c r="D52" s="52">
        <f>SUM(D53:D57)</f>
        <v>2795413141.8299999</v>
      </c>
      <c r="E52" s="52">
        <f>SUM(E53:E57)</f>
        <v>2553232621.8499999</v>
      </c>
      <c r="F52" s="52">
        <f>SUM(F53:F57)</f>
        <v>242180519.97999999</v>
      </c>
      <c r="G52" s="98">
        <f>+F52/E52</f>
        <v>9.4852508896946047E-2</v>
      </c>
      <c r="H52" s="85">
        <v>93575363.010000005</v>
      </c>
      <c r="I52" s="9">
        <v>95778654.989999995</v>
      </c>
      <c r="J52" s="17">
        <v>96489333.589999989</v>
      </c>
      <c r="K52" s="9" t="e">
        <f>+#REF!-H52-I52-J52</f>
        <v>#REF!</v>
      </c>
      <c r="L52" s="9" t="e">
        <f t="shared" si="3"/>
        <v>#REF!</v>
      </c>
      <c r="P52" s="9" t="e">
        <f>+L52-#REF!</f>
        <v>#REF!</v>
      </c>
    </row>
    <row r="53" spans="1:16" ht="15.75" customHeight="1" x14ac:dyDescent="0.2">
      <c r="A53" s="104">
        <v>5347</v>
      </c>
      <c r="B53" s="157" t="s">
        <v>165</v>
      </c>
      <c r="C53" s="95"/>
      <c r="D53" s="194">
        <v>17454118</v>
      </c>
      <c r="E53" s="194">
        <v>7905302</v>
      </c>
      <c r="F53" s="30">
        <f t="shared" ref="F53:F57" si="14">+D53-E53</f>
        <v>9548816</v>
      </c>
      <c r="G53" s="57">
        <f t="shared" ref="G53" si="15">+F53/E53</f>
        <v>1.2079002168418107</v>
      </c>
      <c r="H53" s="18"/>
      <c r="I53" s="9"/>
      <c r="J53" s="17"/>
      <c r="K53" s="9"/>
      <c r="L53" s="9"/>
      <c r="P53" s="9"/>
    </row>
    <row r="54" spans="1:16" hidden="1" x14ac:dyDescent="0.2">
      <c r="A54" s="104">
        <v>5350</v>
      </c>
      <c r="B54" s="58" t="s">
        <v>159</v>
      </c>
      <c r="C54" s="66"/>
      <c r="D54" s="194">
        <v>0</v>
      </c>
      <c r="E54" s="30">
        <v>249733128.78</v>
      </c>
      <c r="F54" s="30">
        <f t="shared" si="14"/>
        <v>-249733128.78</v>
      </c>
      <c r="G54" s="57">
        <f t="shared" ref="G54:G57" si="16">+F54/E54</f>
        <v>-1</v>
      </c>
      <c r="H54" s="18"/>
      <c r="I54" s="9"/>
      <c r="J54" s="17"/>
      <c r="K54" s="9"/>
      <c r="L54" s="9"/>
      <c r="P54" s="9"/>
    </row>
    <row r="55" spans="1:16" ht="26.25" customHeight="1" x14ac:dyDescent="0.2">
      <c r="A55" s="104" t="s">
        <v>142</v>
      </c>
      <c r="B55" s="157" t="s">
        <v>143</v>
      </c>
      <c r="C55" s="66"/>
      <c r="D55" s="194">
        <v>2330805304.54</v>
      </c>
      <c r="E55" s="194">
        <v>1846039126.03</v>
      </c>
      <c r="F55" s="30">
        <f t="shared" si="14"/>
        <v>484766178.50999999</v>
      </c>
      <c r="G55" s="57">
        <f t="shared" si="16"/>
        <v>0.26259799788345445</v>
      </c>
      <c r="H55" s="17"/>
      <c r="I55" s="9"/>
      <c r="J55" s="17"/>
      <c r="K55" s="9">
        <f>+D51-H55-I55-J55</f>
        <v>0</v>
      </c>
      <c r="L55" s="9"/>
      <c r="P55" s="9">
        <f>+L55-D51</f>
        <v>0</v>
      </c>
    </row>
    <row r="56" spans="1:16" ht="15.95" customHeight="1" x14ac:dyDescent="0.2">
      <c r="A56" s="104" t="s">
        <v>144</v>
      </c>
      <c r="B56" s="7" t="s">
        <v>145</v>
      </c>
      <c r="C56" s="66"/>
      <c r="D56" s="194">
        <v>354893108.29000002</v>
      </c>
      <c r="E56" s="194">
        <v>381805572.04000002</v>
      </c>
      <c r="F56" s="30">
        <f t="shared" si="14"/>
        <v>-26912463.75</v>
      </c>
      <c r="G56" s="57">
        <f t="shared" si="16"/>
        <v>-7.0487351994906203E-2</v>
      </c>
      <c r="H56" s="17"/>
      <c r="I56" s="9"/>
      <c r="J56" s="17"/>
      <c r="K56" s="9"/>
      <c r="L56" s="9"/>
      <c r="P56" s="9"/>
    </row>
    <row r="57" spans="1:16" ht="15" customHeight="1" x14ac:dyDescent="0.2">
      <c r="A57" s="104">
        <v>5368</v>
      </c>
      <c r="B57" s="7" t="s">
        <v>160</v>
      </c>
      <c r="C57" s="66"/>
      <c r="D57" s="194">
        <v>92260611</v>
      </c>
      <c r="E57" s="194">
        <v>67749493</v>
      </c>
      <c r="F57" s="30">
        <f t="shared" si="14"/>
        <v>24511118</v>
      </c>
      <c r="G57" s="57">
        <f t="shared" si="16"/>
        <v>0.36179042697780778</v>
      </c>
      <c r="H57" s="85">
        <v>46018565.560000002</v>
      </c>
      <c r="I57" s="9">
        <v>45131397.439999998</v>
      </c>
      <c r="J57" s="17">
        <v>61816367.050000012</v>
      </c>
      <c r="K57" s="9">
        <f t="shared" ref="K57:K74" si="17">+D57-H57-I57-J57</f>
        <v>-60705719.050000012</v>
      </c>
      <c r="L57" s="9">
        <f>+H57+I57+J57+K57</f>
        <v>92260611</v>
      </c>
      <c r="M57" s="29" t="e">
        <f>+D57/#REF!*100</f>
        <v>#REF!</v>
      </c>
      <c r="P57" s="9">
        <f t="shared" ref="P57:P74" si="18">+L57-D57</f>
        <v>0</v>
      </c>
    </row>
    <row r="58" spans="1:16" ht="7.5" customHeight="1" x14ac:dyDescent="0.2">
      <c r="A58" s="104"/>
      <c r="B58" s="7"/>
      <c r="C58" s="66"/>
      <c r="D58" s="18"/>
      <c r="E58" s="30"/>
      <c r="F58" s="56"/>
      <c r="G58" s="57"/>
      <c r="H58" s="85"/>
      <c r="I58" s="9"/>
      <c r="J58" s="17"/>
      <c r="K58" s="9"/>
      <c r="L58" s="9"/>
      <c r="M58" s="29"/>
      <c r="P58" s="9"/>
    </row>
    <row r="59" spans="1:16" ht="15.75" x14ac:dyDescent="0.25">
      <c r="A59" s="173"/>
      <c r="B59" s="94" t="s">
        <v>152</v>
      </c>
      <c r="C59" s="176"/>
      <c r="D59" s="131">
        <f>+D10-D40-D32</f>
        <v>17758496884.669983</v>
      </c>
      <c r="E59" s="131">
        <f>+E10-E40-E32</f>
        <v>54033429541.680023</v>
      </c>
      <c r="F59" s="131">
        <f>+F10-F40-F32</f>
        <v>-36274932657.009995</v>
      </c>
      <c r="G59" s="132">
        <f>+F59/E59</f>
        <v>-0.67134240718569282</v>
      </c>
      <c r="H59" s="85">
        <v>0</v>
      </c>
      <c r="I59" s="9">
        <v>8924941</v>
      </c>
      <c r="J59" s="17">
        <v>1977051</v>
      </c>
      <c r="K59" s="9">
        <f t="shared" si="17"/>
        <v>17747594892.669983</v>
      </c>
      <c r="L59" s="9">
        <f>+H59+I59+J59+K59</f>
        <v>17758496884.669983</v>
      </c>
      <c r="M59" s="29" t="e">
        <f>+D59/#REF!*100</f>
        <v>#REF!</v>
      </c>
      <c r="P59" s="9">
        <f t="shared" si="18"/>
        <v>0</v>
      </c>
    </row>
    <row r="60" spans="1:16" ht="3" hidden="1" customHeight="1" x14ac:dyDescent="0.25">
      <c r="A60" s="96"/>
      <c r="B60" s="54"/>
      <c r="C60" s="174"/>
      <c r="D60" s="51"/>
      <c r="E60" s="51"/>
      <c r="F60" s="51"/>
      <c r="G60" s="98"/>
      <c r="H60" s="83"/>
      <c r="I60" s="9"/>
      <c r="J60" s="17"/>
      <c r="K60" s="9"/>
      <c r="L60" s="9"/>
      <c r="M60" s="29"/>
      <c r="P60" s="9"/>
    </row>
    <row r="61" spans="1:16" ht="21" customHeight="1" x14ac:dyDescent="0.25">
      <c r="A61" s="173"/>
      <c r="B61" s="187" t="s">
        <v>146</v>
      </c>
      <c r="C61" s="176"/>
      <c r="D61" s="131">
        <f>+D62</f>
        <v>26279970663.689999</v>
      </c>
      <c r="E61" s="131">
        <f t="shared" ref="E61:F61" si="19">+E62</f>
        <v>24671945280.699997</v>
      </c>
      <c r="F61" s="131">
        <f t="shared" si="19"/>
        <v>1608025382.99</v>
      </c>
      <c r="G61" s="132">
        <f>+F61/E61</f>
        <v>6.517627064647806E-2</v>
      </c>
      <c r="H61" s="83">
        <v>55257</v>
      </c>
      <c r="I61" s="9">
        <v>266075</v>
      </c>
      <c r="J61" s="17">
        <v>11398451</v>
      </c>
      <c r="K61" s="9">
        <f t="shared" si="17"/>
        <v>26268250880.689999</v>
      </c>
      <c r="L61" s="9">
        <f>+H61+I61+J61+K61</f>
        <v>26279970663.689999</v>
      </c>
      <c r="M61" s="29" t="e">
        <f>+D61/#REF!*100</f>
        <v>#REF!</v>
      </c>
      <c r="P61" s="9">
        <f t="shared" si="18"/>
        <v>0</v>
      </c>
    </row>
    <row r="62" spans="1:16" s="7" customFormat="1" ht="16.5" customHeight="1" x14ac:dyDescent="0.25">
      <c r="A62" s="101">
        <v>48</v>
      </c>
      <c r="B62" s="54" t="s">
        <v>58</v>
      </c>
      <c r="C62" s="146"/>
      <c r="D62" s="51">
        <f>+D64+D66+D67+D68</f>
        <v>26279970663.689999</v>
      </c>
      <c r="E62" s="51">
        <f>+E64+E66+E67+E68</f>
        <v>24671945280.699997</v>
      </c>
      <c r="F62" s="51">
        <f>+F64+F66+F67+F68</f>
        <v>1608025382.99</v>
      </c>
      <c r="G62" s="98">
        <f>+F62/E62</f>
        <v>6.517627064647806E-2</v>
      </c>
      <c r="H62" s="84">
        <v>-26194022.140000001</v>
      </c>
      <c r="I62" s="30">
        <v>353399941.13999999</v>
      </c>
      <c r="J62" s="18">
        <v>-339425027.56</v>
      </c>
      <c r="K62" s="30">
        <f t="shared" si="17"/>
        <v>26292189772.25</v>
      </c>
      <c r="L62" s="30">
        <f>+H62+I62+J62+K62</f>
        <v>26279970663.689999</v>
      </c>
      <c r="M62" s="64" t="e">
        <f>+D62/#REF!*100</f>
        <v>#REF!</v>
      </c>
      <c r="P62" s="30">
        <f t="shared" si="18"/>
        <v>0</v>
      </c>
    </row>
    <row r="63" spans="1:16" ht="14.25" customHeight="1" x14ac:dyDescent="0.2">
      <c r="A63" s="101"/>
      <c r="B63" s="322" t="s">
        <v>150</v>
      </c>
      <c r="C63" s="322"/>
      <c r="D63" s="179"/>
      <c r="E63" s="51"/>
      <c r="F63" s="51"/>
      <c r="G63" s="98"/>
      <c r="H63" s="17"/>
      <c r="I63" s="9"/>
      <c r="J63" s="17"/>
      <c r="K63" s="9">
        <f t="shared" si="17"/>
        <v>0</v>
      </c>
      <c r="L63" s="9"/>
      <c r="P63" s="9">
        <f t="shared" si="18"/>
        <v>0</v>
      </c>
    </row>
    <row r="64" spans="1:16" ht="14.25" customHeight="1" x14ac:dyDescent="0.2">
      <c r="A64" s="104">
        <v>4802</v>
      </c>
      <c r="B64" s="7" t="s">
        <v>59</v>
      </c>
      <c r="C64" s="283" t="s">
        <v>259</v>
      </c>
      <c r="D64" s="194">
        <v>22965999393.57</v>
      </c>
      <c r="E64" s="194">
        <v>22923347904.73</v>
      </c>
      <c r="F64" s="30">
        <f>+D64-E64</f>
        <v>42651488.840000153</v>
      </c>
      <c r="G64" s="57">
        <f>+F64/E64</f>
        <v>1.8606134242371924E-3</v>
      </c>
      <c r="H64" s="85">
        <v>3132144.66</v>
      </c>
      <c r="I64" s="9">
        <v>-64640763.659999996</v>
      </c>
      <c r="J64" s="17">
        <v>-5872684.1700000018</v>
      </c>
      <c r="K64" s="9">
        <f t="shared" si="17"/>
        <v>23033380696.739998</v>
      </c>
      <c r="L64" s="9">
        <f t="shared" ref="L64:L71" si="20">+H64+I64+J64+K64</f>
        <v>22965999393.57</v>
      </c>
      <c r="M64" s="31">
        <f>+D64/$D$64*100</f>
        <v>100</v>
      </c>
      <c r="P64" s="9">
        <f t="shared" si="18"/>
        <v>0</v>
      </c>
    </row>
    <row r="65" spans="1:16" ht="16.5" customHeight="1" x14ac:dyDescent="0.2">
      <c r="A65" s="106"/>
      <c r="B65" s="322" t="s">
        <v>118</v>
      </c>
      <c r="C65" s="322"/>
      <c r="D65" s="194"/>
      <c r="E65" s="7"/>
      <c r="F65" s="7"/>
      <c r="G65" s="107"/>
      <c r="H65" s="85">
        <v>0</v>
      </c>
      <c r="I65" s="9">
        <v>0</v>
      </c>
      <c r="J65" s="17">
        <v>0</v>
      </c>
      <c r="K65" s="9">
        <f>+D66-H65-I65-J65</f>
        <v>3313971270.1199999</v>
      </c>
      <c r="L65" s="9">
        <f t="shared" si="20"/>
        <v>3313971270.1199999</v>
      </c>
      <c r="M65" s="29">
        <f>+D66/$D$64*100</f>
        <v>14.429902280010696</v>
      </c>
      <c r="P65" s="9">
        <f>+L65-D66</f>
        <v>0</v>
      </c>
    </row>
    <row r="66" spans="1:16" ht="14.25" customHeight="1" x14ac:dyDescent="0.2">
      <c r="A66" s="104">
        <v>4808</v>
      </c>
      <c r="B66" s="7" t="s">
        <v>147</v>
      </c>
      <c r="C66" s="95" t="s">
        <v>278</v>
      </c>
      <c r="D66" s="194">
        <v>3313971270.1199999</v>
      </c>
      <c r="E66" s="194">
        <v>1726369752.71</v>
      </c>
      <c r="F66" s="30">
        <f>+D66-E66</f>
        <v>1587601517.4099998</v>
      </c>
      <c r="G66" s="57">
        <f>+F66/E66</f>
        <v>0.91961847392068452</v>
      </c>
      <c r="H66" s="85">
        <v>0</v>
      </c>
      <c r="I66" s="9">
        <v>0</v>
      </c>
      <c r="J66" s="17">
        <v>0</v>
      </c>
      <c r="K66" s="9" t="e">
        <f>+#REF!-H66-I66-J66</f>
        <v>#REF!</v>
      </c>
      <c r="L66" s="9" t="e">
        <f t="shared" si="20"/>
        <v>#REF!</v>
      </c>
      <c r="M66" s="29" t="e">
        <f>+#REF!/$D$64*100</f>
        <v>#REF!</v>
      </c>
      <c r="P66" s="9" t="e">
        <f>+L66-#REF!</f>
        <v>#REF!</v>
      </c>
    </row>
    <row r="67" spans="1:16" ht="25.5" x14ac:dyDescent="0.2">
      <c r="A67" s="104">
        <v>4830</v>
      </c>
      <c r="B67" s="147" t="s">
        <v>162</v>
      </c>
      <c r="C67" s="95" t="s">
        <v>232</v>
      </c>
      <c r="D67" s="194">
        <v>0</v>
      </c>
      <c r="E67" s="194">
        <v>18833119</v>
      </c>
      <c r="F67" s="30">
        <f>+D67-E67</f>
        <v>-18833119</v>
      </c>
      <c r="G67" s="57">
        <f>+F67/E67</f>
        <v>-1</v>
      </c>
      <c r="H67" s="85"/>
      <c r="I67" s="9"/>
      <c r="J67" s="17"/>
      <c r="K67" s="9"/>
      <c r="L67" s="9"/>
      <c r="M67" s="29"/>
      <c r="P67" s="9"/>
    </row>
    <row r="68" spans="1:16" ht="18" customHeight="1" x14ac:dyDescent="0.2">
      <c r="A68" s="104">
        <v>4831</v>
      </c>
      <c r="B68" s="147" t="s">
        <v>208</v>
      </c>
      <c r="C68" s="95" t="s">
        <v>279</v>
      </c>
      <c r="D68" s="194">
        <v>0</v>
      </c>
      <c r="E68" s="194">
        <v>3394504.26</v>
      </c>
      <c r="F68" s="30">
        <f>+D68-E68</f>
        <v>-3394504.26</v>
      </c>
      <c r="G68" s="57">
        <f>+F68/E68</f>
        <v>-1</v>
      </c>
      <c r="H68" s="85"/>
      <c r="I68" s="9"/>
      <c r="J68" s="17"/>
      <c r="K68" s="9"/>
      <c r="L68" s="9"/>
      <c r="M68" s="29"/>
      <c r="P68" s="9"/>
    </row>
    <row r="69" spans="1:16" ht="15.75" customHeight="1" x14ac:dyDescent="0.25">
      <c r="A69" s="173"/>
      <c r="B69" s="187" t="s">
        <v>65</v>
      </c>
      <c r="C69" s="146"/>
      <c r="D69" s="131">
        <f>+D70</f>
        <v>382679860.30000001</v>
      </c>
      <c r="E69" s="131">
        <f t="shared" ref="E69:F69" si="21">+E70</f>
        <v>758812244.34000003</v>
      </c>
      <c r="F69" s="131">
        <f t="shared" si="21"/>
        <v>-376132384.03999996</v>
      </c>
      <c r="G69" s="132">
        <f>+F69/E69</f>
        <v>-0.49568570729529082</v>
      </c>
      <c r="H69" s="85">
        <v>0</v>
      </c>
      <c r="I69" s="9">
        <v>0</v>
      </c>
      <c r="J69" s="17">
        <v>11494977.5</v>
      </c>
      <c r="K69" s="9">
        <f t="shared" si="17"/>
        <v>371184882.80000001</v>
      </c>
      <c r="L69" s="9">
        <f t="shared" si="20"/>
        <v>382679860.30000001</v>
      </c>
      <c r="M69" s="29">
        <f>+D69/$D$64*100</f>
        <v>1.6662887329307443</v>
      </c>
      <c r="P69" s="9">
        <f t="shared" si="18"/>
        <v>0</v>
      </c>
    </row>
    <row r="70" spans="1:16" ht="15.95" customHeight="1" x14ac:dyDescent="0.25">
      <c r="A70" s="101">
        <v>58</v>
      </c>
      <c r="B70" s="54" t="s">
        <v>60</v>
      </c>
      <c r="C70" s="146" t="s">
        <v>280</v>
      </c>
      <c r="D70" s="51">
        <f>SUM(D71:D76)</f>
        <v>382679860.30000001</v>
      </c>
      <c r="E70" s="51">
        <f>SUM(E71:E76)</f>
        <v>758812244.34000003</v>
      </c>
      <c r="F70" s="51">
        <f>SUM(F71:F76)</f>
        <v>-376132384.03999996</v>
      </c>
      <c r="G70" s="98">
        <f>+F70/E70</f>
        <v>-0.49568570729529082</v>
      </c>
      <c r="H70" s="85">
        <v>1582.66</v>
      </c>
      <c r="I70" s="9">
        <v>4312380.34</v>
      </c>
      <c r="J70" s="17">
        <v>8893</v>
      </c>
      <c r="K70" s="9">
        <f t="shared" si="17"/>
        <v>378357004.30000001</v>
      </c>
      <c r="L70" s="9">
        <f t="shared" si="20"/>
        <v>382679860.30000001</v>
      </c>
      <c r="M70" s="29">
        <f>+D70/$D$64*100</f>
        <v>1.6662887329307443</v>
      </c>
      <c r="P70" s="9">
        <f t="shared" si="18"/>
        <v>0</v>
      </c>
    </row>
    <row r="71" spans="1:16" x14ac:dyDescent="0.2">
      <c r="A71" s="104" t="s">
        <v>148</v>
      </c>
      <c r="B71" s="7" t="s">
        <v>61</v>
      </c>
      <c r="C71" s="66"/>
      <c r="D71" s="194">
        <v>63251535.340000004</v>
      </c>
      <c r="E71" s="194">
        <v>47419005.520000003</v>
      </c>
      <c r="F71" s="30">
        <f t="shared" ref="F71:F76" si="22">+D71-E71</f>
        <v>15832529.82</v>
      </c>
      <c r="G71" s="57">
        <f t="shared" ref="G71:G76" si="23">+F71/E71</f>
        <v>0.33388574151607386</v>
      </c>
      <c r="H71" s="85">
        <v>3130562</v>
      </c>
      <c r="I71" s="9">
        <v>-80837813</v>
      </c>
      <c r="J71" s="17">
        <v>-17376555.010000005</v>
      </c>
      <c r="K71" s="9" t="e">
        <f>+#REF!-H71-I71-J71</f>
        <v>#REF!</v>
      </c>
      <c r="L71" s="9" t="e">
        <f t="shared" si="20"/>
        <v>#REF!</v>
      </c>
      <c r="M71" s="29" t="e">
        <f>+#REF!/$D$64*100</f>
        <v>#REF!</v>
      </c>
      <c r="P71" s="9" t="e">
        <f>+L71-#REF!</f>
        <v>#REF!</v>
      </c>
    </row>
    <row r="72" spans="1:16" x14ac:dyDescent="0.2">
      <c r="A72" s="104">
        <v>5803</v>
      </c>
      <c r="B72" s="7" t="s">
        <v>188</v>
      </c>
      <c r="C72" s="66"/>
      <c r="D72" s="194">
        <v>24001</v>
      </c>
      <c r="E72" s="194">
        <v>6610588.5</v>
      </c>
      <c r="F72" s="30">
        <f t="shared" si="22"/>
        <v>-6586587.5</v>
      </c>
      <c r="G72" s="57">
        <f t="shared" si="23"/>
        <v>-0.9963693096310563</v>
      </c>
      <c r="H72" s="85"/>
      <c r="I72" s="9"/>
      <c r="J72" s="17"/>
      <c r="K72" s="9"/>
      <c r="L72" s="9"/>
      <c r="M72" s="29"/>
      <c r="P72" s="9"/>
    </row>
    <row r="73" spans="1:16" x14ac:dyDescent="0.2">
      <c r="A73" s="104">
        <v>5804</v>
      </c>
      <c r="B73" s="7" t="s">
        <v>59</v>
      </c>
      <c r="C73" s="66"/>
      <c r="D73" s="194">
        <v>141675.74</v>
      </c>
      <c r="E73" s="194">
        <v>0</v>
      </c>
      <c r="F73" s="30">
        <f t="shared" si="22"/>
        <v>141675.74</v>
      </c>
      <c r="G73" s="57" t="s">
        <v>6</v>
      </c>
      <c r="H73" s="210"/>
      <c r="I73" s="9"/>
      <c r="J73" s="17"/>
      <c r="K73" s="9"/>
      <c r="L73" s="9"/>
      <c r="M73" s="29"/>
      <c r="P73" s="9"/>
    </row>
    <row r="74" spans="1:16" ht="14.25" customHeight="1" x14ac:dyDescent="0.2">
      <c r="A74" s="104">
        <v>5890</v>
      </c>
      <c r="B74" s="58" t="s">
        <v>149</v>
      </c>
      <c r="C74" s="66"/>
      <c r="D74" s="194">
        <v>98231094.340000004</v>
      </c>
      <c r="E74" s="194">
        <v>35125522.689999998</v>
      </c>
      <c r="F74" s="30">
        <f t="shared" si="22"/>
        <v>63105571.650000006</v>
      </c>
      <c r="G74" s="57">
        <f t="shared" si="23"/>
        <v>1.7965731700831242</v>
      </c>
      <c r="H74" s="85">
        <v>7419840197.1899986</v>
      </c>
      <c r="I74" s="9">
        <v>-5445510432.1899986</v>
      </c>
      <c r="J74" s="17">
        <v>411886124.68999863</v>
      </c>
      <c r="K74" s="9">
        <f t="shared" si="17"/>
        <v>-2287984795.3499985</v>
      </c>
      <c r="L74" s="9">
        <f>+H74+I74+J74+K74</f>
        <v>98231094.340000153</v>
      </c>
      <c r="P74" s="9">
        <f t="shared" si="18"/>
        <v>1.4901161193847656E-7</v>
      </c>
    </row>
    <row r="75" spans="1:16" ht="14.25" customHeight="1" thickBot="1" x14ac:dyDescent="0.25">
      <c r="A75" s="104">
        <v>5893</v>
      </c>
      <c r="B75" s="58" t="s">
        <v>197</v>
      </c>
      <c r="C75" s="66"/>
      <c r="D75" s="194">
        <v>105000</v>
      </c>
      <c r="E75" s="194">
        <v>0</v>
      </c>
      <c r="F75" s="30">
        <f t="shared" si="22"/>
        <v>105000</v>
      </c>
      <c r="G75" s="57" t="s">
        <v>6</v>
      </c>
      <c r="H75" s="18"/>
      <c r="I75" s="9"/>
      <c r="J75" s="17"/>
      <c r="K75" s="9"/>
      <c r="L75" s="9"/>
      <c r="P75" s="9"/>
    </row>
    <row r="76" spans="1:16" s="15" customFormat="1" ht="26.25" customHeight="1" x14ac:dyDescent="0.2">
      <c r="A76" s="104">
        <v>5895</v>
      </c>
      <c r="B76" s="157" t="s">
        <v>126</v>
      </c>
      <c r="C76" s="66"/>
      <c r="D76" s="194">
        <v>220926553.88</v>
      </c>
      <c r="E76" s="194">
        <v>669657127.63</v>
      </c>
      <c r="F76" s="30">
        <f t="shared" si="22"/>
        <v>-448730573.75</v>
      </c>
      <c r="G76" s="57">
        <f t="shared" si="23"/>
        <v>-0.6700900434497179</v>
      </c>
      <c r="H76" s="65"/>
    </row>
    <row r="77" spans="1:16" s="7" customFormat="1" ht="12.75" hidden="1" customHeight="1" x14ac:dyDescent="0.2">
      <c r="A77" s="96"/>
      <c r="C77" s="66"/>
      <c r="D77" s="18"/>
      <c r="E77" s="30"/>
      <c r="F77" s="30"/>
      <c r="G77" s="99"/>
      <c r="H77" s="18"/>
      <c r="I77" s="30"/>
    </row>
    <row r="78" spans="1:16" s="7" customFormat="1" ht="24.75" customHeight="1" x14ac:dyDescent="0.25">
      <c r="A78" s="96"/>
      <c r="B78" s="187" t="s">
        <v>153</v>
      </c>
      <c r="C78" s="95" t="s">
        <v>242</v>
      </c>
      <c r="D78" s="131">
        <f>+D59+D61-D69</f>
        <v>43655787688.059982</v>
      </c>
      <c r="E78" s="131">
        <f>+E59+E61-E69</f>
        <v>77946562578.040024</v>
      </c>
      <c r="F78" s="131">
        <f>+F59+F61-F69</f>
        <v>-34290774889.979996</v>
      </c>
      <c r="G78" s="132">
        <f>+F78/E78</f>
        <v>-0.43992671075967082</v>
      </c>
      <c r="H78" s="18"/>
    </row>
    <row r="79" spans="1:16" s="7" customFormat="1" ht="2.25" customHeight="1" x14ac:dyDescent="0.2">
      <c r="A79" s="96"/>
      <c r="B79" s="4"/>
      <c r="C79" s="176"/>
      <c r="D79" s="16"/>
      <c r="E79" s="88"/>
      <c r="F79" s="51"/>
      <c r="G79" s="108"/>
      <c r="H79" s="18"/>
      <c r="I79" s="177" t="s">
        <v>62</v>
      </c>
      <c r="J79" s="178" t="s">
        <v>63</v>
      </c>
    </row>
  </sheetData>
  <mergeCells count="13">
    <mergeCell ref="A1:G1"/>
    <mergeCell ref="A3:G3"/>
    <mergeCell ref="A4:G4"/>
    <mergeCell ref="H6:K6"/>
    <mergeCell ref="G7:G8"/>
    <mergeCell ref="A5:G5"/>
    <mergeCell ref="B63:C63"/>
    <mergeCell ref="B65:C65"/>
    <mergeCell ref="A2:G2"/>
    <mergeCell ref="H2:N2"/>
    <mergeCell ref="A7:A8"/>
    <mergeCell ref="B7:B8"/>
    <mergeCell ref="C7:C8"/>
  </mergeCells>
  <printOptions horizontalCentered="1" verticalCentered="1"/>
  <pageMargins left="0.31496062992125984" right="0" top="0.19685039370078741" bottom="0.11811023622047245" header="0" footer="0"/>
  <pageSetup paperSize="9" scale="70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6354-3527-4AEF-94CA-F622A69F93E0}">
  <dimension ref="A1:AD88"/>
  <sheetViews>
    <sheetView topLeftCell="A47" zoomScaleNormal="100" workbookViewId="0">
      <selection activeCell="K65" sqref="K65:K66"/>
    </sheetView>
  </sheetViews>
  <sheetFormatPr baseColWidth="10" defaultColWidth="11.42578125" defaultRowHeight="12.75" x14ac:dyDescent="0.2"/>
  <cols>
    <col min="1" max="1" width="5.140625" style="81" customWidth="1"/>
    <col min="2" max="2" width="25.42578125" style="81" customWidth="1"/>
    <col min="3" max="3" width="1.140625" style="71" customWidth="1"/>
    <col min="4" max="4" width="17.85546875" style="14" customWidth="1"/>
    <col min="5" max="5" width="18.28515625" style="14" customWidth="1"/>
    <col min="6" max="6" width="28" style="14" hidden="1" customWidth="1"/>
    <col min="7" max="7" width="8.5703125" style="14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42578125" style="21" customWidth="1"/>
    <col min="12" max="12" width="14" style="14" customWidth="1"/>
    <col min="13" max="13" width="12.85546875" style="14" hidden="1" customWidth="1"/>
    <col min="14" max="14" width="7.425781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85" t="s">
        <v>174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7"/>
    </row>
    <row r="2" spans="1:25" s="1" customFormat="1" ht="18" x14ac:dyDescent="0.25">
      <c r="A2" s="288" t="s">
        <v>167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90"/>
    </row>
    <row r="3" spans="1:25" s="1" customFormat="1" ht="18" x14ac:dyDescent="0.25">
      <c r="A3" s="288" t="s">
        <v>173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1:25" s="1" customFormat="1" ht="18" x14ac:dyDescent="0.25">
      <c r="A4" s="288" t="s">
        <v>203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90"/>
    </row>
    <row r="5" spans="1:25" s="1" customFormat="1" ht="18" x14ac:dyDescent="0.25">
      <c r="A5" s="291" t="s">
        <v>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3"/>
    </row>
    <row r="6" spans="1:25" s="2" customFormat="1" ht="14.25" customHeight="1" x14ac:dyDescent="0.2">
      <c r="A6" s="294" t="s">
        <v>0</v>
      </c>
      <c r="B6" s="295" t="s">
        <v>38</v>
      </c>
      <c r="C6" s="295"/>
      <c r="D6" s="93">
        <v>2025</v>
      </c>
      <c r="E6" s="93">
        <v>2025</v>
      </c>
      <c r="F6" s="43" t="s">
        <v>2</v>
      </c>
      <c r="G6" s="296" t="s">
        <v>151</v>
      </c>
      <c r="H6" s="297" t="s">
        <v>0</v>
      </c>
      <c r="I6" s="295" t="s">
        <v>38</v>
      </c>
      <c r="J6" s="295"/>
      <c r="K6" s="93">
        <v>2025</v>
      </c>
      <c r="L6" s="93">
        <v>2025</v>
      </c>
      <c r="M6" s="43" t="s">
        <v>2</v>
      </c>
      <c r="N6" s="298" t="s">
        <v>151</v>
      </c>
      <c r="P6" s="300" t="s">
        <v>1</v>
      </c>
      <c r="Q6" s="300"/>
      <c r="R6" s="300" t="s">
        <v>4</v>
      </c>
      <c r="S6" s="300"/>
    </row>
    <row r="7" spans="1:25" s="2" customFormat="1" ht="12" customHeight="1" x14ac:dyDescent="0.2">
      <c r="A7" s="294"/>
      <c r="B7" s="295"/>
      <c r="C7" s="295"/>
      <c r="D7" s="93" t="s">
        <v>185</v>
      </c>
      <c r="E7" s="93" t="s">
        <v>198</v>
      </c>
      <c r="F7" s="43" t="s">
        <v>5</v>
      </c>
      <c r="G7" s="296"/>
      <c r="H7" s="297"/>
      <c r="I7" s="295"/>
      <c r="J7" s="295"/>
      <c r="K7" s="93" t="s">
        <v>185</v>
      </c>
      <c r="L7" s="93" t="s">
        <v>198</v>
      </c>
      <c r="M7" s="43" t="s">
        <v>5</v>
      </c>
      <c r="N7" s="298"/>
    </row>
    <row r="8" spans="1:25" s="2" customFormat="1" ht="15.75" customHeight="1" x14ac:dyDescent="0.2">
      <c r="A8" s="109"/>
      <c r="B8" s="186" t="s">
        <v>1</v>
      </c>
      <c r="C8" s="43"/>
      <c r="D8" s="89"/>
      <c r="E8" s="89"/>
      <c r="F8" s="89"/>
      <c r="G8" s="124"/>
      <c r="H8" s="41"/>
      <c r="I8" s="186" t="s">
        <v>3</v>
      </c>
      <c r="J8" s="43"/>
      <c r="K8" s="20"/>
      <c r="L8" s="42"/>
      <c r="M8" s="42"/>
      <c r="N8" s="110"/>
    </row>
    <row r="9" spans="1:25" s="2" customFormat="1" ht="21.75" customHeight="1" x14ac:dyDescent="0.2">
      <c r="A9" s="109"/>
      <c r="B9" s="40" t="s">
        <v>69</v>
      </c>
      <c r="C9" s="43"/>
      <c r="D9" s="127">
        <f>+D10+D16+D23+D27+D14</f>
        <v>289846779825.54004</v>
      </c>
      <c r="E9" s="127">
        <f>+E10+E16+E23+E27+E14</f>
        <v>280949874752.38</v>
      </c>
      <c r="F9" s="127">
        <f>+F10+F16+F23+F27+F14</f>
        <v>8896905073.1600494</v>
      </c>
      <c r="G9" s="128">
        <f>+F9/E9</f>
        <v>3.1667232743924481E-2</v>
      </c>
      <c r="H9" s="41"/>
      <c r="I9" s="40" t="s">
        <v>93</v>
      </c>
      <c r="J9" s="43"/>
      <c r="K9" s="127">
        <f>+K10+K18+K21+K25</f>
        <v>36695745119.089996</v>
      </c>
      <c r="L9" s="127">
        <f>+L10+L18+L21+L25</f>
        <v>38298082483.779999</v>
      </c>
      <c r="M9" s="127">
        <f>+M10+M18+M21+M25</f>
        <v>-1602337364.6900005</v>
      </c>
      <c r="N9" s="129">
        <f>+M9/L9</f>
        <v>-4.1838579395420704E-2</v>
      </c>
      <c r="P9" s="32">
        <f>+D9/D9*100</f>
        <v>100</v>
      </c>
      <c r="Q9" s="39">
        <f>+D9/D56*100</f>
        <v>46.491192091438435</v>
      </c>
    </row>
    <row r="10" spans="1:25" s="2" customFormat="1" ht="26.25" customHeight="1" x14ac:dyDescent="0.2">
      <c r="A10" s="114">
        <v>11</v>
      </c>
      <c r="B10" s="140" t="s">
        <v>70</v>
      </c>
      <c r="C10" s="43"/>
      <c r="D10" s="75">
        <f>SUM(D11:D13)</f>
        <v>196387619272.09003</v>
      </c>
      <c r="E10" s="75">
        <f>SUM(E11:E13)</f>
        <v>261336700188.60999</v>
      </c>
      <c r="F10" s="75">
        <f>SUM(F11:F13)</f>
        <v>-64949080916.519974</v>
      </c>
      <c r="G10" s="125">
        <f>+F10/E10</f>
        <v>-0.24852644450490652</v>
      </c>
      <c r="H10" s="45">
        <v>24</v>
      </c>
      <c r="I10" s="44" t="s">
        <v>94</v>
      </c>
      <c r="J10" s="43"/>
      <c r="K10" s="75">
        <f>SUM(K11:K16)</f>
        <v>6972746569.9099998</v>
      </c>
      <c r="L10" s="75">
        <f>SUM(L11:L16)</f>
        <v>4949505949.8499994</v>
      </c>
      <c r="M10" s="75">
        <f>SUM(M11:M16)</f>
        <v>2023240620.0599999</v>
      </c>
      <c r="N10" s="111">
        <f t="shared" ref="N10:N14" si="0">+M10/L10</f>
        <v>0.40877627798817306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193">
        <v>751821690</v>
      </c>
      <c r="E11" s="193">
        <v>751821690</v>
      </c>
      <c r="F11" s="74">
        <f>+D11-E11</f>
        <v>0</v>
      </c>
      <c r="G11" s="126">
        <f>+F11/E11</f>
        <v>0</v>
      </c>
      <c r="H11" s="46">
        <v>2401</v>
      </c>
      <c r="I11" s="76" t="s">
        <v>95</v>
      </c>
      <c r="J11" s="68"/>
      <c r="K11" s="193">
        <v>3122485145.8099999</v>
      </c>
      <c r="L11" s="193">
        <v>2052154577.73</v>
      </c>
      <c r="M11" s="74">
        <f>+K11-L11</f>
        <v>1070330568.0799999</v>
      </c>
      <c r="N11" s="112">
        <f t="shared" si="0"/>
        <v>0.52156430109858043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193">
        <v>189883568501.64001</v>
      </c>
      <c r="E12" s="193">
        <v>260370020671.01999</v>
      </c>
      <c r="F12" s="74">
        <f>+D12-E12</f>
        <v>-70486452169.379974</v>
      </c>
      <c r="G12" s="126">
        <f>+F12/E12</f>
        <v>-0.27071646723276288</v>
      </c>
      <c r="H12" s="46">
        <v>2407</v>
      </c>
      <c r="I12" s="76" t="s">
        <v>96</v>
      </c>
      <c r="J12" s="68"/>
      <c r="K12" s="193">
        <v>39955628</v>
      </c>
      <c r="L12" s="193">
        <v>90954180</v>
      </c>
      <c r="M12" s="74">
        <f t="shared" ref="M12:M16" si="1">+K12-L12</f>
        <v>-50998552</v>
      </c>
      <c r="N12" s="112">
        <f t="shared" si="0"/>
        <v>-0.56070597305148595</v>
      </c>
      <c r="P12" s="11">
        <f>+D10/$D$9*100</f>
        <v>67.755667111532702</v>
      </c>
      <c r="S12" s="11">
        <f>+K10/$K$36*100</f>
        <v>1198.0320979446717</v>
      </c>
    </row>
    <row r="13" spans="1:25" s="2" customFormat="1" ht="18" customHeight="1" x14ac:dyDescent="0.2">
      <c r="A13" s="109">
        <v>1133</v>
      </c>
      <c r="B13" s="41" t="s">
        <v>72</v>
      </c>
      <c r="C13" s="68"/>
      <c r="D13" s="193">
        <v>5752229080.4499998</v>
      </c>
      <c r="E13" s="193">
        <v>214857827.59</v>
      </c>
      <c r="F13" s="74">
        <f>+D13-E13</f>
        <v>5537371252.8599997</v>
      </c>
      <c r="G13" s="126">
        <f>+F13/E13</f>
        <v>25.772257473563521</v>
      </c>
      <c r="H13" s="46">
        <v>2424</v>
      </c>
      <c r="I13" s="76" t="s">
        <v>97</v>
      </c>
      <c r="J13" s="68"/>
      <c r="K13" s="193">
        <v>2084091363</v>
      </c>
      <c r="L13" s="193">
        <v>1328629640</v>
      </c>
      <c r="M13" s="74">
        <f t="shared" si="1"/>
        <v>755461723</v>
      </c>
      <c r="N13" s="112">
        <f t="shared" si="0"/>
        <v>0.56860218999780854</v>
      </c>
      <c r="P13" s="11">
        <f>+D20/$D$9*100</f>
        <v>0</v>
      </c>
      <c r="R13" s="11">
        <f>+K11/$K$10*100</f>
        <v>44.781279722465278</v>
      </c>
      <c r="S13" s="11"/>
    </row>
    <row r="14" spans="1:25" s="2" customFormat="1" ht="28.15" customHeight="1" x14ac:dyDescent="0.2">
      <c r="A14" s="114">
        <v>12</v>
      </c>
      <c r="B14" s="140" t="s">
        <v>201</v>
      </c>
      <c r="C14" s="68"/>
      <c r="D14" s="75">
        <f>+D15</f>
        <v>85650044038.410004</v>
      </c>
      <c r="E14" s="75">
        <f t="shared" ref="E14:F14" si="2">+E15</f>
        <v>0</v>
      </c>
      <c r="F14" s="75">
        <f t="shared" si="2"/>
        <v>85650044038.410004</v>
      </c>
      <c r="G14" s="184" t="s">
        <v>6</v>
      </c>
      <c r="H14" s="46">
        <v>2436</v>
      </c>
      <c r="I14" s="76" t="s">
        <v>98</v>
      </c>
      <c r="J14" s="68"/>
      <c r="K14" s="193">
        <v>356695422.69</v>
      </c>
      <c r="L14" s="193">
        <v>175200407</v>
      </c>
      <c r="M14" s="74">
        <f t="shared" si="1"/>
        <v>181495015.69</v>
      </c>
      <c r="N14" s="112">
        <f t="shared" si="0"/>
        <v>1.0359280483292483</v>
      </c>
      <c r="P14" s="11"/>
      <c r="R14" s="11"/>
      <c r="S14" s="11"/>
      <c r="Y14" s="12"/>
    </row>
    <row r="15" spans="1:25" s="2" customFormat="1" ht="35.25" customHeight="1" x14ac:dyDescent="0.2">
      <c r="A15" s="200">
        <v>1223</v>
      </c>
      <c r="B15" s="201" t="s">
        <v>200</v>
      </c>
      <c r="C15" s="68"/>
      <c r="D15" s="193">
        <v>85650044038.410004</v>
      </c>
      <c r="E15" s="74">
        <v>0</v>
      </c>
      <c r="F15" s="74">
        <f>+D15-E15</f>
        <v>85650044038.410004</v>
      </c>
      <c r="G15" s="185" t="s">
        <v>6</v>
      </c>
      <c r="H15" s="46">
        <v>2440</v>
      </c>
      <c r="I15" s="76" t="s">
        <v>99</v>
      </c>
      <c r="J15" s="68"/>
      <c r="K15" s="193">
        <v>325792038.60000002</v>
      </c>
      <c r="L15" s="193">
        <v>832293940</v>
      </c>
      <c r="M15" s="74">
        <f t="shared" si="1"/>
        <v>-506501901.39999998</v>
      </c>
      <c r="N15" s="112">
        <f>+M15/L15</f>
        <v>-0.60856132317868372</v>
      </c>
      <c r="P15" s="11"/>
      <c r="R15" s="11">
        <f>+K12/$K$10*100</f>
        <v>0.57302567359071133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SUM(D17:D21)</f>
        <v>5922453896.1999998</v>
      </c>
      <c r="E16" s="75">
        <f t="shared" ref="E16:F16" si="3">SUM(E17:E21)</f>
        <v>17671525124.299999</v>
      </c>
      <c r="F16" s="75">
        <f t="shared" si="3"/>
        <v>-11749071228.099998</v>
      </c>
      <c r="G16" s="125">
        <f>+F16/E16</f>
        <v>-0.66485892674559977</v>
      </c>
      <c r="H16" s="41">
        <v>2490</v>
      </c>
      <c r="I16" s="41" t="s">
        <v>100</v>
      </c>
      <c r="J16" s="68"/>
      <c r="K16" s="193">
        <v>1043726971.8099999</v>
      </c>
      <c r="L16" s="193">
        <v>470273205.12</v>
      </c>
      <c r="M16" s="74">
        <f t="shared" si="1"/>
        <v>573453766.68999994</v>
      </c>
      <c r="N16" s="112">
        <f t="shared" ref="N16" si="4">+M16/L16</f>
        <v>1.2194055720092989</v>
      </c>
      <c r="P16" s="11">
        <f>+D22/$D$9*100</f>
        <v>0</v>
      </c>
      <c r="R16" s="11">
        <f>+K13/$K$10*100</f>
        <v>29.889102408993768</v>
      </c>
      <c r="S16" s="11"/>
    </row>
    <row r="17" spans="1:30" s="2" customFormat="1" ht="20.25" customHeight="1" x14ac:dyDescent="0.2">
      <c r="A17" s="113">
        <v>1311</v>
      </c>
      <c r="B17" s="76" t="s">
        <v>199</v>
      </c>
      <c r="C17" s="68"/>
      <c r="D17" s="193">
        <v>38438263</v>
      </c>
      <c r="E17" s="193">
        <v>17229751</v>
      </c>
      <c r="F17" s="74">
        <f t="shared" ref="F17:F20" si="5">+D17-E17</f>
        <v>21208512</v>
      </c>
      <c r="G17" s="126">
        <f>+F17/E17</f>
        <v>1.2309238827653399</v>
      </c>
      <c r="H17" s="41"/>
      <c r="I17" s="76"/>
      <c r="J17" s="68"/>
      <c r="K17" s="74"/>
      <c r="L17" s="74"/>
      <c r="M17" s="74"/>
      <c r="N17" s="115"/>
      <c r="P17" s="11" t="e">
        <f>+D24/$D$22*100</f>
        <v>#DIV/0!</v>
      </c>
      <c r="R17" s="11">
        <f>+K15/$K$10*100</f>
        <v>4.6723631116311335</v>
      </c>
      <c r="S17" s="11"/>
    </row>
    <row r="18" spans="1:30" s="2" customFormat="1" ht="21.75" customHeight="1" x14ac:dyDescent="0.2">
      <c r="A18" s="113">
        <v>1316</v>
      </c>
      <c r="B18" s="76" t="s">
        <v>7</v>
      </c>
      <c r="C18" s="68"/>
      <c r="D18" s="193">
        <v>292750</v>
      </c>
      <c r="E18" s="193">
        <v>378300</v>
      </c>
      <c r="F18" s="74">
        <f t="shared" si="5"/>
        <v>-85550</v>
      </c>
      <c r="G18" s="126">
        <f>+F18/E18</f>
        <v>-0.22614327253502511</v>
      </c>
      <c r="H18" s="45">
        <v>25</v>
      </c>
      <c r="I18" s="140" t="s">
        <v>101</v>
      </c>
      <c r="J18" s="43"/>
      <c r="K18" s="75">
        <f>+K19</f>
        <v>15648990413.26</v>
      </c>
      <c r="L18" s="75">
        <f>+L19</f>
        <v>12230143945.5</v>
      </c>
      <c r="M18" s="75">
        <f>+M19</f>
        <v>3418846467.7600002</v>
      </c>
      <c r="N18" s="111">
        <f>+M18/L18</f>
        <v>0.27954261887636589</v>
      </c>
      <c r="P18" s="11"/>
      <c r="R18" s="11">
        <f>+K16/$K$10*100</f>
        <v>14.968663515092759</v>
      </c>
      <c r="S18" s="11">
        <f>+K16/$K$36*100</f>
        <v>179.32939354414438</v>
      </c>
    </row>
    <row r="19" spans="1:30" s="2" customFormat="1" ht="22.5" customHeight="1" x14ac:dyDescent="0.2">
      <c r="A19" s="116">
        <v>1317</v>
      </c>
      <c r="B19" s="76" t="s">
        <v>74</v>
      </c>
      <c r="C19" s="68"/>
      <c r="D19" s="193">
        <v>5881908948</v>
      </c>
      <c r="E19" s="193">
        <v>17647877805.299999</v>
      </c>
      <c r="F19" s="74">
        <f t="shared" si="5"/>
        <v>-11765968857.299999</v>
      </c>
      <c r="G19" s="126">
        <f>+F19/E19</f>
        <v>-0.6667072940501918</v>
      </c>
      <c r="H19" s="48">
        <v>2511</v>
      </c>
      <c r="I19" s="76" t="s">
        <v>102</v>
      </c>
      <c r="J19" s="68"/>
      <c r="K19" s="193">
        <v>15648990413.26</v>
      </c>
      <c r="L19" s="193">
        <v>12230143945.5</v>
      </c>
      <c r="M19" s="74">
        <f>+K19-L19</f>
        <v>3418846467.7600002</v>
      </c>
      <c r="N19" s="112">
        <f>+M19/L19</f>
        <v>0.27954261887636589</v>
      </c>
      <c r="R19" s="11" t="e">
        <f>+#REF!/$K$10*100</f>
        <v>#REF!</v>
      </c>
      <c r="S19" s="11"/>
    </row>
    <row r="20" spans="1:30" s="2" customFormat="1" ht="1.5" customHeight="1" x14ac:dyDescent="0.2">
      <c r="A20" s="116">
        <v>1337</v>
      </c>
      <c r="B20" s="76" t="s">
        <v>161</v>
      </c>
      <c r="C20" s="68"/>
      <c r="D20" s="193">
        <v>0</v>
      </c>
      <c r="E20" s="193">
        <v>0</v>
      </c>
      <c r="F20" s="74">
        <f t="shared" si="5"/>
        <v>0</v>
      </c>
      <c r="G20" s="126" t="e">
        <f t="shared" ref="G20:G21" si="6">+F20/E20</f>
        <v>#DIV/0!</v>
      </c>
      <c r="H20" s="41"/>
      <c r="I20" s="41"/>
      <c r="J20" s="68"/>
      <c r="K20" s="74"/>
      <c r="L20" s="74"/>
      <c r="M20" s="74"/>
      <c r="N20" s="117"/>
      <c r="S20" s="11"/>
      <c r="X20" s="46"/>
      <c r="Y20" s="12"/>
      <c r="AD20" s="126"/>
    </row>
    <row r="21" spans="1:30" s="2" customFormat="1" ht="18" customHeight="1" x14ac:dyDescent="0.2">
      <c r="A21" s="116">
        <v>1384</v>
      </c>
      <c r="B21" s="76" t="s">
        <v>75</v>
      </c>
      <c r="C21" s="68"/>
      <c r="D21" s="193">
        <v>1813935.2</v>
      </c>
      <c r="E21" s="193">
        <v>6039268</v>
      </c>
      <c r="F21" s="74">
        <f t="shared" ref="F21" si="7">+D21-E21</f>
        <v>-4225332.8</v>
      </c>
      <c r="G21" s="126">
        <f t="shared" si="6"/>
        <v>-0.69964320179200523</v>
      </c>
      <c r="H21" s="45">
        <v>27</v>
      </c>
      <c r="I21" s="44" t="s">
        <v>103</v>
      </c>
      <c r="J21" s="43"/>
      <c r="K21" s="75">
        <f>SUM(K22:K23)</f>
        <v>232140630</v>
      </c>
      <c r="L21" s="75">
        <f>SUM(L22:L23)</f>
        <v>199590594</v>
      </c>
      <c r="M21" s="75">
        <f>SUM(M22:M23)</f>
        <v>32550036</v>
      </c>
      <c r="N21" s="111">
        <f>+M21/L21</f>
        <v>0.16308401787711499</v>
      </c>
      <c r="P21" s="11" t="e">
        <f>+#REF!/$D$22*100</f>
        <v>#REF!</v>
      </c>
      <c r="Q21" s="11"/>
      <c r="R21" s="11"/>
      <c r="S21" s="11">
        <f>+K18/$K$36*100</f>
        <v>2688.7529365284131</v>
      </c>
      <c r="X21" s="46"/>
      <c r="Y21" s="12"/>
      <c r="AD21" s="126"/>
    </row>
    <row r="22" spans="1:30" s="2" customFormat="1" ht="15.75" customHeight="1" x14ac:dyDescent="0.2">
      <c r="A22" s="116"/>
      <c r="B22" s="76"/>
      <c r="C22" s="68"/>
      <c r="D22" s="74"/>
      <c r="E22" s="193"/>
      <c r="F22" s="74"/>
      <c r="G22" s="126"/>
      <c r="H22" s="46">
        <v>2701</v>
      </c>
      <c r="I22" s="76" t="s">
        <v>28</v>
      </c>
      <c r="J22" s="68"/>
      <c r="K22" s="193">
        <v>232140630</v>
      </c>
      <c r="L22" s="193">
        <v>199590594</v>
      </c>
      <c r="M22" s="74">
        <f>+K22-L22</f>
        <v>32550036</v>
      </c>
      <c r="N22" s="112">
        <f>+M22/L22</f>
        <v>0.16308401787711499</v>
      </c>
      <c r="P22" s="11" t="e">
        <f>+D25/$D$22*100</f>
        <v>#DIV/0!</v>
      </c>
      <c r="R22" s="11"/>
      <c r="S22" s="11"/>
    </row>
    <row r="23" spans="1:30" s="2" customFormat="1" ht="18" customHeight="1" x14ac:dyDescent="0.2">
      <c r="A23" s="114">
        <v>15</v>
      </c>
      <c r="B23" s="44" t="s">
        <v>77</v>
      </c>
      <c r="C23" s="43"/>
      <c r="D23" s="75">
        <f>SUM(D24:D26)</f>
        <v>651714729.06000006</v>
      </c>
      <c r="E23" s="75">
        <f>SUM(E24:E26)</f>
        <v>802540369.82000005</v>
      </c>
      <c r="F23" s="75">
        <f>SUM(F24:F26)</f>
        <v>-150825640.75999993</v>
      </c>
      <c r="G23" s="125">
        <f t="shared" ref="G23:G28" si="8">+F23/E23</f>
        <v>-0.18793526959127085</v>
      </c>
      <c r="H23" s="46"/>
      <c r="I23" s="76"/>
      <c r="J23" s="69"/>
      <c r="K23" s="74"/>
      <c r="L23" s="74"/>
      <c r="M23" s="74"/>
      <c r="N23" s="112"/>
      <c r="P23" s="11" t="e">
        <f>+D26/$D$22*100</f>
        <v>#DIV/0!</v>
      </c>
      <c r="R23" s="11"/>
      <c r="S23" s="11"/>
    </row>
    <row r="24" spans="1:30" s="2" customFormat="1" ht="18.75" customHeight="1" x14ac:dyDescent="0.2">
      <c r="A24" s="116">
        <v>1510</v>
      </c>
      <c r="B24" s="76" t="s">
        <v>78</v>
      </c>
      <c r="C24" s="68"/>
      <c r="D24" s="193">
        <v>190467066.69</v>
      </c>
      <c r="E24" s="193">
        <v>162853972.44999999</v>
      </c>
      <c r="F24" s="74">
        <f>+D24-E24</f>
        <v>27613094.24000001</v>
      </c>
      <c r="G24" s="126">
        <f t="shared" si="8"/>
        <v>0.16955738828217948</v>
      </c>
      <c r="H24" s="47"/>
      <c r="I24" s="48"/>
      <c r="J24" s="69"/>
      <c r="K24" s="74"/>
      <c r="L24" s="74"/>
      <c r="M24" s="74"/>
      <c r="N24" s="112"/>
      <c r="P24" s="11"/>
      <c r="R24" s="11"/>
      <c r="S24" s="11">
        <f>+K21/$K$36*100</f>
        <v>39.885563484732742</v>
      </c>
      <c r="Y24" s="12"/>
    </row>
    <row r="25" spans="1:30" s="2" customFormat="1" ht="17.25" customHeight="1" x14ac:dyDescent="0.2">
      <c r="A25" s="116">
        <v>1514</v>
      </c>
      <c r="B25" s="76" t="s">
        <v>79</v>
      </c>
      <c r="C25" s="68"/>
      <c r="D25" s="193">
        <v>459002790.41000003</v>
      </c>
      <c r="E25" s="193">
        <v>637209949.28999996</v>
      </c>
      <c r="F25" s="74">
        <f>+D25-E25</f>
        <v>-178207158.87999994</v>
      </c>
      <c r="G25" s="126">
        <f t="shared" si="8"/>
        <v>-0.27966788509589996</v>
      </c>
      <c r="H25" s="45">
        <v>29</v>
      </c>
      <c r="I25" s="44" t="s">
        <v>10</v>
      </c>
      <c r="J25" s="43"/>
      <c r="K25" s="75">
        <f>SUM(K26:K28)</f>
        <v>13841867505.92</v>
      </c>
      <c r="L25" s="75">
        <f t="shared" ref="L25:M25" si="9">SUM(L26:L28)</f>
        <v>20918841994.43</v>
      </c>
      <c r="M25" s="75">
        <f t="shared" si="9"/>
        <v>-7076974488.5100002</v>
      </c>
      <c r="N25" s="111">
        <f>+M25/L25</f>
        <v>-0.33830622605182287</v>
      </c>
      <c r="P25" s="11" t="e">
        <f>+#REF!/$D$9*100</f>
        <v>#REF!</v>
      </c>
      <c r="R25" s="11"/>
      <c r="S25" s="11"/>
      <c r="Z25" s="12"/>
    </row>
    <row r="26" spans="1:30" s="2" customFormat="1" ht="23.25" customHeight="1" x14ac:dyDescent="0.2">
      <c r="A26" s="109">
        <v>1530</v>
      </c>
      <c r="B26" s="41" t="s">
        <v>9</v>
      </c>
      <c r="C26" s="68"/>
      <c r="D26" s="193">
        <v>2244871.96</v>
      </c>
      <c r="E26" s="193">
        <v>2476448.08</v>
      </c>
      <c r="F26" s="74">
        <f t="shared" ref="F26" si="10">+D26-E26</f>
        <v>-231576.12000000011</v>
      </c>
      <c r="G26" s="126">
        <f t="shared" si="8"/>
        <v>-9.3511397178171446E-2</v>
      </c>
      <c r="H26" s="46">
        <v>2902</v>
      </c>
      <c r="I26" s="76" t="s">
        <v>104</v>
      </c>
      <c r="J26" s="68"/>
      <c r="K26" s="193">
        <v>12362292428.09</v>
      </c>
      <c r="L26" s="193">
        <v>15059453150.34</v>
      </c>
      <c r="M26" s="74">
        <f>+K26-L26</f>
        <v>-2697160722.25</v>
      </c>
      <c r="N26" s="112">
        <f>+M26/L26</f>
        <v>-0.17910084086878716</v>
      </c>
      <c r="R26" s="11"/>
      <c r="S26" s="11"/>
    </row>
    <row r="27" spans="1:30" s="2" customFormat="1" ht="23.25" customHeight="1" x14ac:dyDescent="0.2">
      <c r="A27" s="114">
        <v>19</v>
      </c>
      <c r="B27" s="44" t="s">
        <v>11</v>
      </c>
      <c r="C27" s="43"/>
      <c r="D27" s="75">
        <f>SUM(D28:D28)</f>
        <v>1234947889.78</v>
      </c>
      <c r="E27" s="75">
        <f>SUM(E28:E28)</f>
        <v>1139109069.6500001</v>
      </c>
      <c r="F27" s="75">
        <f>SUM(F28:F28)</f>
        <v>95838820.129999876</v>
      </c>
      <c r="G27" s="125">
        <f t="shared" si="8"/>
        <v>8.4134893385974949E-2</v>
      </c>
      <c r="H27" s="41">
        <v>2910</v>
      </c>
      <c r="I27" s="76" t="s">
        <v>12</v>
      </c>
      <c r="J27" s="68"/>
      <c r="K27" s="193">
        <v>185265880</v>
      </c>
      <c r="L27" s="193">
        <v>3829228705.1999998</v>
      </c>
      <c r="M27" s="74">
        <f>+K27-L27</f>
        <v>-3643962825.1999998</v>
      </c>
      <c r="N27" s="112">
        <f>+M27/L27</f>
        <v>-0.9516179642787036</v>
      </c>
      <c r="R27" s="11"/>
      <c r="S27" s="11"/>
    </row>
    <row r="28" spans="1:30" s="2" customFormat="1" ht="21.95" customHeight="1" x14ac:dyDescent="0.2">
      <c r="A28" s="116">
        <v>1906</v>
      </c>
      <c r="B28" s="76" t="s">
        <v>8</v>
      </c>
      <c r="C28" s="69"/>
      <c r="D28" s="193">
        <v>1234947889.78</v>
      </c>
      <c r="E28" s="193">
        <v>1139109069.6500001</v>
      </c>
      <c r="F28" s="74">
        <f>+D28-E28</f>
        <v>95838820.129999876</v>
      </c>
      <c r="G28" s="126">
        <f t="shared" si="8"/>
        <v>8.4134893385974949E-2</v>
      </c>
      <c r="H28" s="41" t="s">
        <v>155</v>
      </c>
      <c r="I28" s="76" t="s">
        <v>156</v>
      </c>
      <c r="J28" s="68"/>
      <c r="K28" s="193">
        <v>1294309197.8299999</v>
      </c>
      <c r="L28" s="193">
        <v>2030160138.8900001</v>
      </c>
      <c r="M28" s="74">
        <f>+K28-L28</f>
        <v>-735850941.06000018</v>
      </c>
      <c r="N28" s="112">
        <f>+M28/L28</f>
        <v>-0.36245955526559115</v>
      </c>
      <c r="R28" s="11"/>
      <c r="S28" s="11">
        <f>+K25/$K$36*100</f>
        <v>2378.2596142460347</v>
      </c>
    </row>
    <row r="29" spans="1:30" s="2" customFormat="1" ht="25.5" customHeight="1" x14ac:dyDescent="0.2">
      <c r="A29" s="109"/>
      <c r="B29" s="40" t="s">
        <v>80</v>
      </c>
      <c r="C29" s="43"/>
      <c r="D29" s="127">
        <f>D30+D33+D48+D50</f>
        <v>333597719630.33997</v>
      </c>
      <c r="E29" s="127">
        <f>E30+E33+E48+E50</f>
        <v>334264727931.76996</v>
      </c>
      <c r="F29" s="127">
        <f>F30+F33+F48+F50</f>
        <v>-667008301.42999637</v>
      </c>
      <c r="G29" s="128">
        <f>+F29/E29</f>
        <v>-1.9954492523247798E-3</v>
      </c>
      <c r="H29" s="41"/>
      <c r="I29" s="40"/>
      <c r="J29" s="43"/>
      <c r="K29" s="75"/>
      <c r="L29" s="75"/>
      <c r="M29" s="75"/>
      <c r="N29" s="111"/>
      <c r="P29" s="11"/>
      <c r="R29" s="11"/>
      <c r="S29" s="11"/>
    </row>
    <row r="30" spans="1:30" s="2" customFormat="1" ht="18.75" customHeight="1" x14ac:dyDescent="0.2">
      <c r="A30" s="114">
        <v>13</v>
      </c>
      <c r="B30" s="44" t="s">
        <v>73</v>
      </c>
      <c r="C30" s="43"/>
      <c r="D30" s="75">
        <f>SUM(D31:D32)</f>
        <v>311289.73999999464</v>
      </c>
      <c r="E30" s="75">
        <f>SUM(E31:E32)</f>
        <v>463180.73999999464</v>
      </c>
      <c r="F30" s="75">
        <f>SUM(F31:F32)</f>
        <v>-151891</v>
      </c>
      <c r="G30" s="125">
        <f>+F30/E30</f>
        <v>-0.32793030211057944</v>
      </c>
      <c r="H30" s="41"/>
      <c r="I30" s="40"/>
      <c r="J30" s="43"/>
      <c r="K30" s="75"/>
      <c r="L30" s="75"/>
      <c r="M30" s="75"/>
      <c r="N30" s="111"/>
      <c r="P30" s="11" t="e">
        <f>+#REF!/$D$9*100</f>
        <v>#REF!</v>
      </c>
      <c r="R30" s="11"/>
      <c r="S30" s="11"/>
    </row>
    <row r="31" spans="1:30" s="2" customFormat="1" ht="22.5" x14ac:dyDescent="0.2">
      <c r="A31" s="116">
        <v>1385</v>
      </c>
      <c r="B31" s="76" t="s">
        <v>158</v>
      </c>
      <c r="C31" s="68"/>
      <c r="D31" s="193">
        <v>100426376</v>
      </c>
      <c r="E31" s="74">
        <v>100426376</v>
      </c>
      <c r="F31" s="74">
        <f t="shared" ref="F31:F32" si="11">+D31-E31</f>
        <v>0</v>
      </c>
      <c r="G31" s="126">
        <f t="shared" ref="G31:G32" si="12">+F31/E31</f>
        <v>0</v>
      </c>
      <c r="H31" s="41"/>
      <c r="I31" s="40"/>
      <c r="J31" s="43"/>
      <c r="K31" s="75"/>
      <c r="L31" s="75"/>
      <c r="M31" s="75"/>
      <c r="N31" s="111"/>
      <c r="P31" s="11"/>
      <c r="S31" s="11"/>
    </row>
    <row r="32" spans="1:30" s="2" customFormat="1" ht="22.5" x14ac:dyDescent="0.2">
      <c r="A32" s="116">
        <v>1386</v>
      </c>
      <c r="B32" s="76" t="s">
        <v>76</v>
      </c>
      <c r="C32" s="68"/>
      <c r="D32" s="193">
        <v>-100115086.26000001</v>
      </c>
      <c r="E32" s="193">
        <v>-99963195.260000005</v>
      </c>
      <c r="F32" s="74">
        <f t="shared" si="11"/>
        <v>-151891</v>
      </c>
      <c r="G32" s="126">
        <f t="shared" si="12"/>
        <v>1.519469236701948E-3</v>
      </c>
      <c r="H32" s="46"/>
      <c r="I32" s="76"/>
      <c r="J32" s="68"/>
      <c r="K32" s="74"/>
      <c r="L32" s="74"/>
      <c r="M32" s="74"/>
      <c r="N32" s="112"/>
      <c r="R32" s="11"/>
    </row>
    <row r="33" spans="1:26" s="2" customFormat="1" ht="21.75" customHeight="1" x14ac:dyDescent="0.2">
      <c r="A33" s="114">
        <v>16</v>
      </c>
      <c r="B33" s="45" t="s">
        <v>81</v>
      </c>
      <c r="C33" s="43"/>
      <c r="D33" s="75">
        <f>SUM(D34:D47)</f>
        <v>331531051609.43994</v>
      </c>
      <c r="E33" s="75">
        <f t="shared" ref="E33:F33" si="13">SUM(E34:E47)</f>
        <v>332358796862.87994</v>
      </c>
      <c r="F33" s="75">
        <f t="shared" si="13"/>
        <v>-827745253.43999648</v>
      </c>
      <c r="G33" s="125">
        <f>+F33/E33</f>
        <v>-2.4905170594341042E-3</v>
      </c>
      <c r="H33" s="41"/>
      <c r="I33" s="40" t="s">
        <v>105</v>
      </c>
      <c r="J33" s="130"/>
      <c r="K33" s="127">
        <f>+K35+K38</f>
        <v>644310570</v>
      </c>
      <c r="L33" s="127">
        <f t="shared" ref="L33:M33" si="14">+L35+L38</f>
        <v>609966839.38999999</v>
      </c>
      <c r="M33" s="127">
        <f t="shared" si="14"/>
        <v>34343730.610000014</v>
      </c>
      <c r="N33" s="129">
        <f>+M33/L33</f>
        <v>5.6304258514029405E-2</v>
      </c>
      <c r="P33" s="11"/>
      <c r="S33" s="11"/>
    </row>
    <row r="34" spans="1:26" s="2" customFormat="1" ht="19.5" customHeight="1" x14ac:dyDescent="0.2">
      <c r="A34" s="116">
        <v>1605</v>
      </c>
      <c r="B34" s="41" t="s">
        <v>14</v>
      </c>
      <c r="C34" s="68"/>
      <c r="D34" s="74">
        <v>268587060279.28</v>
      </c>
      <c r="E34" s="74">
        <v>268587060279.28</v>
      </c>
      <c r="F34" s="74">
        <f t="shared" ref="F34:F47" si="15">+D34-E34</f>
        <v>0</v>
      </c>
      <c r="G34" s="126">
        <f t="shared" ref="G34:G44" si="16">+F34/E34</f>
        <v>0</v>
      </c>
      <c r="H34" s="46"/>
      <c r="I34" s="76"/>
      <c r="J34" s="68"/>
      <c r="K34" s="74"/>
      <c r="L34" s="74"/>
      <c r="M34" s="74"/>
      <c r="N34" s="112"/>
      <c r="R34" s="11" t="e">
        <f>+#REF!/$K$36*100</f>
        <v>#REF!</v>
      </c>
      <c r="S34" s="11"/>
    </row>
    <row r="35" spans="1:26" s="2" customFormat="1" ht="23.25" customHeight="1" x14ac:dyDescent="0.2">
      <c r="A35" s="116">
        <v>1615</v>
      </c>
      <c r="B35" s="76" t="s">
        <v>82</v>
      </c>
      <c r="C35" s="155"/>
      <c r="D35" s="74">
        <v>249733128.78</v>
      </c>
      <c r="E35" s="74">
        <v>249733128.78</v>
      </c>
      <c r="F35" s="74">
        <f t="shared" si="15"/>
        <v>0</v>
      </c>
      <c r="G35" s="126">
        <f t="shared" si="16"/>
        <v>0</v>
      </c>
      <c r="H35" s="45">
        <v>25</v>
      </c>
      <c r="I35" s="90" t="s">
        <v>101</v>
      </c>
      <c r="J35" s="43"/>
      <c r="K35" s="75">
        <f>SUM(K36:K37)</f>
        <v>582016674</v>
      </c>
      <c r="L35" s="75">
        <f>SUM(L36:L37)</f>
        <v>534621734.38999999</v>
      </c>
      <c r="M35" s="75">
        <f>SUM(M36:M37)</f>
        <v>47394939.610000014</v>
      </c>
      <c r="N35" s="111">
        <f>+M35/L35</f>
        <v>8.8651352089299806E-2</v>
      </c>
      <c r="R35" s="11"/>
      <c r="S35" s="11"/>
    </row>
    <row r="36" spans="1:26" s="2" customFormat="1" ht="24.75" customHeight="1" x14ac:dyDescent="0.2">
      <c r="A36" s="116">
        <v>1635</v>
      </c>
      <c r="B36" s="76" t="s">
        <v>16</v>
      </c>
      <c r="C36" s="155"/>
      <c r="D36" s="193">
        <v>59667465</v>
      </c>
      <c r="E36" s="193">
        <v>157713554.62</v>
      </c>
      <c r="F36" s="74">
        <f t="shared" si="15"/>
        <v>-98046089.620000005</v>
      </c>
      <c r="G36" s="126">
        <f t="shared" si="16"/>
        <v>-0.62167192830213824</v>
      </c>
      <c r="H36" s="46">
        <v>2512</v>
      </c>
      <c r="I36" s="76" t="s">
        <v>106</v>
      </c>
      <c r="J36" s="68"/>
      <c r="K36" s="193">
        <v>582016674</v>
      </c>
      <c r="L36" s="193">
        <v>534621734.38999999</v>
      </c>
      <c r="M36" s="74">
        <f>+K36-L36</f>
        <v>47394939.610000014</v>
      </c>
      <c r="N36" s="112">
        <f>+M36/L36</f>
        <v>8.8651352089299806E-2</v>
      </c>
      <c r="R36" s="11"/>
      <c r="S36" s="11"/>
    </row>
    <row r="37" spans="1:26" s="2" customFormat="1" ht="22.5" x14ac:dyDescent="0.2">
      <c r="A37" s="116">
        <v>1637</v>
      </c>
      <c r="B37" s="76" t="s">
        <v>83</v>
      </c>
      <c r="C37" s="155"/>
      <c r="D37" s="193">
        <v>414636897.94999999</v>
      </c>
      <c r="E37" s="193">
        <v>359818144.76999998</v>
      </c>
      <c r="F37" s="74">
        <f t="shared" si="15"/>
        <v>54818753.180000007</v>
      </c>
      <c r="G37" s="126">
        <f t="shared" si="16"/>
        <v>0.15235127515606753</v>
      </c>
      <c r="H37" s="149"/>
      <c r="I37" s="76"/>
      <c r="J37" s="68"/>
      <c r="K37" s="74"/>
      <c r="L37" s="74"/>
      <c r="M37" s="74"/>
      <c r="N37" s="112"/>
      <c r="P37" s="39" t="e">
        <f>+#REF!/#REF!*100</f>
        <v>#REF!</v>
      </c>
      <c r="R37" s="11"/>
      <c r="S37" s="11"/>
      <c r="Z37" s="12"/>
    </row>
    <row r="38" spans="1:26" s="2" customFormat="1" ht="16.5" customHeight="1" x14ac:dyDescent="0.2">
      <c r="A38" s="116">
        <v>1640</v>
      </c>
      <c r="B38" s="76" t="s">
        <v>17</v>
      </c>
      <c r="C38" s="68"/>
      <c r="D38" s="193">
        <v>59024909680.839996</v>
      </c>
      <c r="E38" s="74">
        <v>59024909680.839996</v>
      </c>
      <c r="F38" s="74">
        <f t="shared" si="15"/>
        <v>0</v>
      </c>
      <c r="G38" s="126">
        <f t="shared" si="16"/>
        <v>0</v>
      </c>
      <c r="H38" s="45">
        <v>27</v>
      </c>
      <c r="I38" s="44" t="s">
        <v>103</v>
      </c>
      <c r="J38" s="43"/>
      <c r="K38" s="75">
        <f>+K39</f>
        <v>62293896</v>
      </c>
      <c r="L38" s="75">
        <f>+L39</f>
        <v>75345105</v>
      </c>
      <c r="M38" s="75">
        <f>SUM(M39:M40)</f>
        <v>-13051209</v>
      </c>
      <c r="N38" s="111">
        <f>+M38/L38</f>
        <v>-0.17321906977234952</v>
      </c>
      <c r="R38" s="11"/>
    </row>
    <row r="39" spans="1:26" s="2" customFormat="1" ht="16.5" customHeight="1" x14ac:dyDescent="0.2">
      <c r="A39" s="116">
        <v>1655</v>
      </c>
      <c r="B39" s="76" t="s">
        <v>19</v>
      </c>
      <c r="C39" s="155"/>
      <c r="D39" s="193">
        <v>2112810243.3</v>
      </c>
      <c r="E39" s="193">
        <v>2110883872.7</v>
      </c>
      <c r="F39" s="74">
        <f t="shared" si="15"/>
        <v>1926370.5999999046</v>
      </c>
      <c r="G39" s="126">
        <f t="shared" si="16"/>
        <v>9.1258956729624015E-4</v>
      </c>
      <c r="H39" s="46">
        <v>2701</v>
      </c>
      <c r="I39" s="76" t="s">
        <v>28</v>
      </c>
      <c r="J39" s="68"/>
      <c r="K39" s="74">
        <v>62293896</v>
      </c>
      <c r="L39" s="74">
        <v>75345105</v>
      </c>
      <c r="M39" s="74">
        <f>+K39-L39</f>
        <v>-13051209</v>
      </c>
      <c r="N39" s="112">
        <f>+M39/L39</f>
        <v>-0.17321906977234952</v>
      </c>
      <c r="P39" s="39">
        <f>+D33/D56*100</f>
        <v>53.177316007886567</v>
      </c>
      <c r="R39" s="11"/>
      <c r="S39" s="11"/>
    </row>
    <row r="40" spans="1:26" s="2" customFormat="1" ht="15.75" customHeight="1" x14ac:dyDescent="0.2">
      <c r="A40" s="116">
        <v>1660</v>
      </c>
      <c r="B40" s="76" t="s">
        <v>84</v>
      </c>
      <c r="C40" s="155"/>
      <c r="D40" s="193">
        <v>2492226612.46</v>
      </c>
      <c r="E40" s="193">
        <v>2510550964.46</v>
      </c>
      <c r="F40" s="74">
        <f t="shared" si="15"/>
        <v>-18324352</v>
      </c>
      <c r="G40" s="126">
        <f t="shared" si="16"/>
        <v>-7.2989364722740955E-3</v>
      </c>
      <c r="H40" s="41"/>
      <c r="I40" s="41"/>
      <c r="J40" s="68"/>
      <c r="K40" s="74"/>
      <c r="L40" s="74"/>
      <c r="M40" s="74"/>
      <c r="N40" s="112"/>
      <c r="P40" s="11">
        <f>+D34/$D$33*100</f>
        <v>81.014149044382407</v>
      </c>
      <c r="R40" s="11"/>
      <c r="S40" s="11"/>
    </row>
    <row r="41" spans="1:26" s="2" customFormat="1" ht="24" customHeight="1" x14ac:dyDescent="0.2">
      <c r="A41" s="116">
        <v>1665</v>
      </c>
      <c r="B41" s="76" t="s">
        <v>85</v>
      </c>
      <c r="C41" s="155"/>
      <c r="D41" s="193">
        <v>2176660001</v>
      </c>
      <c r="E41" s="193">
        <v>2192249401.29</v>
      </c>
      <c r="F41" s="74">
        <f t="shared" si="15"/>
        <v>-15589400.289999962</v>
      </c>
      <c r="G41" s="126">
        <f t="shared" si="16"/>
        <v>-7.1111435956267505E-3</v>
      </c>
      <c r="H41" s="41"/>
      <c r="I41" s="40" t="s">
        <v>13</v>
      </c>
      <c r="J41" s="43"/>
      <c r="K41" s="127">
        <f>+K9+K33</f>
        <v>37340055689.089996</v>
      </c>
      <c r="L41" s="127">
        <f>+L9+L33</f>
        <v>38908049323.169998</v>
      </c>
      <c r="M41" s="127">
        <f>+M9+M33</f>
        <v>-1567993634.0800004</v>
      </c>
      <c r="N41" s="129">
        <f>+M41/L41</f>
        <v>-4.0299980630132744E-2</v>
      </c>
      <c r="P41" s="11"/>
      <c r="R41" s="11"/>
      <c r="S41" s="11"/>
    </row>
    <row r="42" spans="1:26" s="2" customFormat="1" ht="21.95" customHeight="1" x14ac:dyDescent="0.2">
      <c r="A42" s="116">
        <v>1670</v>
      </c>
      <c r="B42" s="76" t="s">
        <v>86</v>
      </c>
      <c r="C42" s="155"/>
      <c r="D42" s="193">
        <v>12830983922.91</v>
      </c>
      <c r="E42" s="193">
        <v>12940428591.959999</v>
      </c>
      <c r="F42" s="74">
        <f t="shared" si="15"/>
        <v>-109444669.04999924</v>
      </c>
      <c r="G42" s="126">
        <f t="shared" si="16"/>
        <v>-8.4575768315740454E-3</v>
      </c>
      <c r="H42" s="41"/>
      <c r="I42" s="40"/>
      <c r="J42" s="43"/>
      <c r="K42" s="180"/>
      <c r="L42" s="180"/>
      <c r="M42" s="180"/>
      <c r="N42" s="181"/>
      <c r="P42" s="28">
        <f>+D35/$D$33*100</f>
        <v>7.5327221256547047E-2</v>
      </c>
      <c r="Q42" s="11">
        <f>+D33/D56*100</f>
        <v>53.177316007886567</v>
      </c>
      <c r="R42" s="11"/>
      <c r="S42" s="11"/>
    </row>
    <row r="43" spans="1:26" s="2" customFormat="1" ht="21.75" customHeight="1" x14ac:dyDescent="0.2">
      <c r="A43" s="116">
        <v>1675</v>
      </c>
      <c r="B43" s="76" t="s">
        <v>87</v>
      </c>
      <c r="C43" s="155"/>
      <c r="D43" s="193">
        <v>1929741121</v>
      </c>
      <c r="E43" s="193">
        <v>1929741121</v>
      </c>
      <c r="F43" s="74">
        <f t="shared" si="15"/>
        <v>0</v>
      </c>
      <c r="G43" s="126">
        <f t="shared" si="16"/>
        <v>0</v>
      </c>
      <c r="H43" s="41"/>
      <c r="I43" s="40"/>
      <c r="J43" s="43"/>
      <c r="K43" s="75"/>
      <c r="L43" s="75"/>
      <c r="M43" s="75"/>
      <c r="N43" s="111"/>
      <c r="R43" s="11"/>
      <c r="S43" s="11"/>
    </row>
    <row r="44" spans="1:26" s="2" customFormat="1" ht="22.5" customHeight="1" x14ac:dyDescent="0.2">
      <c r="A44" s="116">
        <v>1680</v>
      </c>
      <c r="B44" s="76" t="s">
        <v>88</v>
      </c>
      <c r="C44" s="155"/>
      <c r="D44" s="193">
        <v>670764729.19000006</v>
      </c>
      <c r="E44" s="193">
        <v>670432676.19000006</v>
      </c>
      <c r="F44" s="74">
        <f t="shared" si="15"/>
        <v>332053</v>
      </c>
      <c r="G44" s="126">
        <f t="shared" si="16"/>
        <v>4.9528164690155476E-4</v>
      </c>
      <c r="H44" s="47"/>
      <c r="I44" s="41"/>
      <c r="J44" s="68"/>
      <c r="K44" s="182"/>
      <c r="L44" s="182"/>
      <c r="M44" s="182"/>
      <c r="N44" s="183"/>
      <c r="P44" s="11"/>
      <c r="R44" s="11"/>
      <c r="S44" s="11"/>
    </row>
    <row r="45" spans="1:26" s="2" customFormat="1" ht="19.5" customHeight="1" x14ac:dyDescent="0.2">
      <c r="A45" s="116">
        <v>1681</v>
      </c>
      <c r="B45" s="76" t="s">
        <v>23</v>
      </c>
      <c r="C45" s="155"/>
      <c r="D45" s="193">
        <v>1714231433.1099999</v>
      </c>
      <c r="E45" s="193">
        <v>1684710031.6700001</v>
      </c>
      <c r="F45" s="74">
        <f t="shared" si="15"/>
        <v>29521401.439999819</v>
      </c>
      <c r="G45" s="126">
        <f>+F45/E45</f>
        <v>1.7523135070749346E-2</v>
      </c>
      <c r="H45" s="41"/>
      <c r="I45" s="186" t="s">
        <v>15</v>
      </c>
      <c r="J45" s="43"/>
      <c r="K45" s="127">
        <f>+K48</f>
        <v>586104443766.78992</v>
      </c>
      <c r="L45" s="127">
        <f>+L48</f>
        <v>576306553360.9801</v>
      </c>
      <c r="M45" s="127">
        <f>+M48</f>
        <v>9797890405.8099709</v>
      </c>
      <c r="N45" s="129">
        <f>+M45/L45</f>
        <v>1.7001178190095792E-2</v>
      </c>
      <c r="P45" s="11"/>
      <c r="R45" s="11"/>
      <c r="S45" s="11"/>
    </row>
    <row r="46" spans="1:26" s="2" customFormat="1" ht="22.5" x14ac:dyDescent="0.2">
      <c r="A46" s="109">
        <v>1685</v>
      </c>
      <c r="B46" s="76" t="s">
        <v>89</v>
      </c>
      <c r="C46" s="68"/>
      <c r="D46" s="193">
        <v>-20482640776.599998</v>
      </c>
      <c r="E46" s="193">
        <v>-19809701455.900002</v>
      </c>
      <c r="F46" s="74">
        <f t="shared" si="15"/>
        <v>-672939320.69999695</v>
      </c>
      <c r="G46" s="126">
        <f>+F46/E46</f>
        <v>3.3970189919221259E-2</v>
      </c>
      <c r="H46" s="47"/>
      <c r="I46" s="41"/>
      <c r="J46" s="68"/>
      <c r="K46" s="75"/>
      <c r="L46" s="75"/>
      <c r="M46" s="75"/>
      <c r="N46" s="117"/>
      <c r="P46" s="11">
        <f>+D37/$D$33*100</f>
        <v>0.12506728885186383</v>
      </c>
      <c r="R46" s="11">
        <f>+K42/$K$39*100</f>
        <v>0</v>
      </c>
      <c r="S46" s="11"/>
    </row>
    <row r="47" spans="1:26" s="2" customFormat="1" ht="21.75" customHeight="1" x14ac:dyDescent="0.2">
      <c r="A47" s="109">
        <v>1695</v>
      </c>
      <c r="B47" s="76" t="s">
        <v>192</v>
      </c>
      <c r="C47" s="68"/>
      <c r="D47" s="193">
        <v>-249733128.78</v>
      </c>
      <c r="E47" s="74">
        <v>-249733128.78</v>
      </c>
      <c r="F47" s="74">
        <f t="shared" si="15"/>
        <v>0</v>
      </c>
      <c r="G47" s="126">
        <f>+F47/E47</f>
        <v>0</v>
      </c>
      <c r="H47" s="47"/>
      <c r="I47" s="41"/>
      <c r="J47" s="68"/>
      <c r="K47" s="75"/>
      <c r="L47" s="75"/>
      <c r="M47" s="75"/>
      <c r="N47" s="117"/>
      <c r="P47" s="28">
        <f>+D38/$D$33*100</f>
        <v>17.803734942564077</v>
      </c>
      <c r="R47" s="11">
        <f>+K45/$K$39*100</f>
        <v>940869.78243709449</v>
      </c>
      <c r="S47" s="11"/>
    </row>
    <row r="48" spans="1:26" s="2" customFormat="1" ht="21.95" customHeight="1" x14ac:dyDescent="0.2">
      <c r="A48" s="114">
        <v>17</v>
      </c>
      <c r="B48" s="140" t="s">
        <v>21</v>
      </c>
      <c r="C48" s="43"/>
      <c r="D48" s="75">
        <f>+D49</f>
        <v>46206747.32</v>
      </c>
      <c r="E48" s="75">
        <f>+E49</f>
        <v>46206747.32</v>
      </c>
      <c r="F48" s="75">
        <f>+F49</f>
        <v>0</v>
      </c>
      <c r="G48" s="125">
        <f>+F48/E48</f>
        <v>0</v>
      </c>
      <c r="H48" s="45">
        <v>31</v>
      </c>
      <c r="I48" s="140" t="s">
        <v>116</v>
      </c>
      <c r="J48" s="43"/>
      <c r="K48" s="75">
        <f>SUM(K49:K52)</f>
        <v>586104443766.78992</v>
      </c>
      <c r="L48" s="75">
        <f>SUM(L49:L52)</f>
        <v>576306553360.9801</v>
      </c>
      <c r="M48" s="75">
        <f>SUM(M49:M52)</f>
        <v>9797890405.8099709</v>
      </c>
      <c r="N48" s="111">
        <f t="shared" ref="N48:N50" si="17">+M48/L48</f>
        <v>1.7001178190095792E-2</v>
      </c>
      <c r="P48" s="11">
        <f>+D40/$D$33*100</f>
        <v>0.75173248489434608</v>
      </c>
      <c r="R48" s="11">
        <f>+K46/$K$39*100</f>
        <v>0</v>
      </c>
      <c r="S48" s="11"/>
    </row>
    <row r="49" spans="1:26" s="2" customFormat="1" ht="19.5" customHeight="1" x14ac:dyDescent="0.2">
      <c r="A49" s="116">
        <v>1715</v>
      </c>
      <c r="B49" s="48" t="s">
        <v>22</v>
      </c>
      <c r="C49" s="69"/>
      <c r="D49" s="74">
        <v>46206747.32</v>
      </c>
      <c r="E49" s="74">
        <v>46206747.32</v>
      </c>
      <c r="F49" s="74">
        <f>+D49-E49</f>
        <v>0</v>
      </c>
      <c r="G49" s="126">
        <f>+F49/E49</f>
        <v>0</v>
      </c>
      <c r="H49" s="46">
        <v>3105</v>
      </c>
      <c r="I49" s="76" t="s">
        <v>18</v>
      </c>
      <c r="J49" s="68"/>
      <c r="K49" s="74">
        <v>44239962579.480003</v>
      </c>
      <c r="L49" s="193">
        <v>44239962579.480003</v>
      </c>
      <c r="M49" s="74">
        <f>+K49-L49</f>
        <v>0</v>
      </c>
      <c r="N49" s="112">
        <f>+M49/L49</f>
        <v>0</v>
      </c>
      <c r="P49" s="11">
        <f>+D41/$D$33*100</f>
        <v>0.65654785288836648</v>
      </c>
      <c r="R49" s="11" t="e">
        <f>+#REF!/$K$39*100</f>
        <v>#REF!</v>
      </c>
      <c r="S49" s="11"/>
    </row>
    <row r="50" spans="1:26" s="2" customFormat="1" ht="24.75" customHeight="1" x14ac:dyDescent="0.2">
      <c r="A50" s="114">
        <v>19</v>
      </c>
      <c r="B50" s="44" t="s">
        <v>11</v>
      </c>
      <c r="C50" s="43"/>
      <c r="D50" s="75">
        <f>SUM(D51:D55)</f>
        <v>2020149983.8399999</v>
      </c>
      <c r="E50" s="75">
        <f>SUM(E51:E55)</f>
        <v>1859261140.8299999</v>
      </c>
      <c r="F50" s="75">
        <f>SUM(F51:F55)</f>
        <v>160888843.01000011</v>
      </c>
      <c r="G50" s="125">
        <f t="shared" ref="G50" si="18">+F50/E50</f>
        <v>8.6533752293761756E-2</v>
      </c>
      <c r="H50" s="46">
        <v>3109</v>
      </c>
      <c r="I50" s="76" t="s">
        <v>117</v>
      </c>
      <c r="J50" s="68"/>
      <c r="K50" s="193">
        <v>509801659885.22998</v>
      </c>
      <c r="L50" s="193">
        <v>508654632194.31</v>
      </c>
      <c r="M50" s="74">
        <f>+K50-L50</f>
        <v>1147027690.9199829</v>
      </c>
      <c r="N50" s="112">
        <f t="shared" si="17"/>
        <v>2.2550225994635385E-3</v>
      </c>
      <c r="P50" s="28">
        <f>+D42/$D$33*100</f>
        <v>3.8702208618532472</v>
      </c>
      <c r="R50" s="11"/>
      <c r="S50" s="11"/>
    </row>
    <row r="51" spans="1:26" s="2" customFormat="1" ht="22.5" x14ac:dyDescent="0.2">
      <c r="A51" s="116">
        <v>1905</v>
      </c>
      <c r="B51" s="76" t="s">
        <v>193</v>
      </c>
      <c r="C51" s="68"/>
      <c r="D51" s="193">
        <v>110208166.59999999</v>
      </c>
      <c r="E51" s="193">
        <v>110208166.59999999</v>
      </c>
      <c r="F51" s="74">
        <f>+D51-E51</f>
        <v>0</v>
      </c>
      <c r="G51" s="126">
        <f>+F51/E51</f>
        <v>0</v>
      </c>
      <c r="H51" s="46">
        <v>3110</v>
      </c>
      <c r="I51" s="76" t="s">
        <v>20</v>
      </c>
      <c r="J51" s="68"/>
      <c r="K51" s="74">
        <v>32062821302.079994</v>
      </c>
      <c r="L51" s="74">
        <v>23411958587.190006</v>
      </c>
      <c r="M51" s="74">
        <f>+K51-L51</f>
        <v>8650862714.8899879</v>
      </c>
      <c r="N51" s="112">
        <f>+M51/L51</f>
        <v>0.36950615142568033</v>
      </c>
      <c r="P51" s="11">
        <f>+D43/$D$33*100</f>
        <v>0.5820694959437257</v>
      </c>
      <c r="R51" s="11"/>
      <c r="S51" s="11"/>
      <c r="Y51" s="12"/>
    </row>
    <row r="52" spans="1:26" s="2" customFormat="1" ht="22.5" x14ac:dyDescent="0.2">
      <c r="A52" s="116">
        <v>1908</v>
      </c>
      <c r="B52" s="76" t="s">
        <v>202</v>
      </c>
      <c r="C52" s="68"/>
      <c r="D52" s="193">
        <v>245947886.13999999</v>
      </c>
      <c r="E52" s="193">
        <v>0</v>
      </c>
      <c r="F52" s="74">
        <f>+D52-E52</f>
        <v>245947886.13999999</v>
      </c>
      <c r="G52" s="185" t="s">
        <v>6</v>
      </c>
      <c r="H52" s="46"/>
      <c r="I52" s="76"/>
      <c r="J52" s="68"/>
      <c r="K52" s="74"/>
      <c r="L52" s="74"/>
      <c r="M52" s="74"/>
      <c r="N52" s="112"/>
      <c r="P52" s="11"/>
      <c r="R52" s="11"/>
      <c r="S52" s="11"/>
      <c r="Y52" s="12"/>
    </row>
    <row r="53" spans="1:26" s="2" customFormat="1" ht="24.75" customHeight="1" x14ac:dyDescent="0.2">
      <c r="A53" s="116">
        <v>1909</v>
      </c>
      <c r="B53" s="76" t="s">
        <v>90</v>
      </c>
      <c r="C53" s="68"/>
      <c r="D53" s="193">
        <v>1263704</v>
      </c>
      <c r="E53" s="193">
        <v>1263704</v>
      </c>
      <c r="F53" s="74">
        <f>+D53-E53</f>
        <v>0</v>
      </c>
      <c r="G53" s="126">
        <f>+F53/E53</f>
        <v>0</v>
      </c>
      <c r="H53" s="41"/>
      <c r="I53" s="41"/>
      <c r="J53" s="68"/>
      <c r="K53" s="74"/>
      <c r="L53" s="74"/>
      <c r="M53" s="74"/>
      <c r="N53" s="117"/>
      <c r="P53" s="11">
        <f>+D44/$D$33*100</f>
        <v>0.20232334978389724</v>
      </c>
      <c r="R53" s="11"/>
      <c r="S53" s="11"/>
      <c r="Y53" s="12"/>
      <c r="Z53" s="12"/>
    </row>
    <row r="54" spans="1:26" s="2" customFormat="1" ht="16.5" customHeight="1" x14ac:dyDescent="0.2">
      <c r="A54" s="116">
        <v>1970</v>
      </c>
      <c r="B54" s="76" t="s">
        <v>91</v>
      </c>
      <c r="C54" s="68"/>
      <c r="D54" s="193">
        <v>3028983845.6700001</v>
      </c>
      <c r="E54" s="193">
        <v>3214036864.6700001</v>
      </c>
      <c r="F54" s="74">
        <f>+D54-E54</f>
        <v>-185053019</v>
      </c>
      <c r="G54" s="126">
        <f t="shared" ref="G54:G55" si="19">+F54/E54</f>
        <v>-5.7576507921915279E-2</v>
      </c>
      <c r="H54" s="41"/>
      <c r="I54" s="41"/>
      <c r="J54" s="68"/>
      <c r="K54" s="74"/>
      <c r="L54" s="74"/>
      <c r="M54" s="74"/>
      <c r="N54" s="117"/>
      <c r="R54" s="11"/>
      <c r="S54" s="11"/>
      <c r="Y54" s="12">
        <f>+D56-K56</f>
        <v>0</v>
      </c>
      <c r="Z54" s="12">
        <f>+E56-L56</f>
        <v>0</v>
      </c>
    </row>
    <row r="55" spans="1:26" s="2" customFormat="1" ht="21.75" customHeight="1" x14ac:dyDescent="0.2">
      <c r="A55" s="109">
        <v>1975</v>
      </c>
      <c r="B55" s="76" t="s">
        <v>92</v>
      </c>
      <c r="C55" s="68"/>
      <c r="D55" s="193">
        <v>-1366253618.5699999</v>
      </c>
      <c r="E55" s="193">
        <v>-1466247594.4400001</v>
      </c>
      <c r="F55" s="74">
        <f>+D55-E55</f>
        <v>99993975.870000124</v>
      </c>
      <c r="G55" s="126">
        <f t="shared" si="19"/>
        <v>-6.8197196878055616E-2</v>
      </c>
      <c r="H55" s="41"/>
      <c r="I55" s="41"/>
      <c r="J55" s="68"/>
      <c r="K55" s="74"/>
      <c r="L55" s="74"/>
      <c r="M55" s="74"/>
      <c r="N55" s="117"/>
      <c r="Q55" s="11" t="e">
        <f>+#REF!/D56*100</f>
        <v>#REF!</v>
      </c>
      <c r="R55" s="11"/>
      <c r="S55" s="11"/>
    </row>
    <row r="56" spans="1:26" s="2" customFormat="1" ht="20.25" customHeight="1" thickBot="1" x14ac:dyDescent="0.25">
      <c r="A56" s="133"/>
      <c r="B56" s="134" t="s">
        <v>24</v>
      </c>
      <c r="C56" s="135"/>
      <c r="D56" s="136">
        <f>+D9+D29</f>
        <v>623444499455.88</v>
      </c>
      <c r="E56" s="136">
        <f>+E9+E29</f>
        <v>615214602684.1499</v>
      </c>
      <c r="F56" s="136">
        <f>+F9+F29</f>
        <v>8229896771.7300529</v>
      </c>
      <c r="G56" s="137">
        <f>+F56/E56</f>
        <v>1.3377278003193412E-2</v>
      </c>
      <c r="H56" s="138"/>
      <c r="I56" s="134" t="s">
        <v>25</v>
      </c>
      <c r="J56" s="135"/>
      <c r="K56" s="136">
        <f>+K41+K45</f>
        <v>623444499455.87988</v>
      </c>
      <c r="L56" s="136">
        <f>+L41+L45</f>
        <v>615214602684.15015</v>
      </c>
      <c r="M56" s="136">
        <f>+M41+M45</f>
        <v>8229896771.7299709</v>
      </c>
      <c r="N56" s="139">
        <f>+M56/L56</f>
        <v>1.3377278003193273E-2</v>
      </c>
      <c r="R56" s="11"/>
      <c r="S56" s="11"/>
    </row>
    <row r="57" spans="1:26" s="2" customFormat="1" ht="21.75" customHeight="1" x14ac:dyDescent="0.2">
      <c r="A57" s="144">
        <v>8</v>
      </c>
      <c r="B57" s="141" t="s">
        <v>26</v>
      </c>
      <c r="C57" s="142"/>
      <c r="D57" s="143">
        <f>+D58+D64+D61</f>
        <v>0</v>
      </c>
      <c r="E57" s="143">
        <f>+E58+E64+E61</f>
        <v>0</v>
      </c>
      <c r="F57" s="143">
        <f>+F58+F64+F61</f>
        <v>0</v>
      </c>
      <c r="G57" s="167">
        <v>0</v>
      </c>
      <c r="H57" s="168">
        <v>9</v>
      </c>
      <c r="I57" s="156" t="s">
        <v>27</v>
      </c>
      <c r="J57" s="142"/>
      <c r="K57" s="143">
        <f>+K58+K62+K64</f>
        <v>0</v>
      </c>
      <c r="L57" s="143">
        <f>+L58+L62+L64</f>
        <v>0</v>
      </c>
      <c r="M57" s="143">
        <f>+M58+M62+M64</f>
        <v>0</v>
      </c>
      <c r="N57" s="145">
        <v>0</v>
      </c>
      <c r="O57" s="12"/>
      <c r="Q57" s="12"/>
      <c r="R57" s="11"/>
      <c r="S57" s="11"/>
    </row>
    <row r="58" spans="1:26" s="2" customFormat="1" ht="24" customHeight="1" x14ac:dyDescent="0.2">
      <c r="A58" s="114">
        <v>81</v>
      </c>
      <c r="B58" s="40" t="s">
        <v>107</v>
      </c>
      <c r="C58" s="43"/>
      <c r="D58" s="75">
        <f>SUM(D59:D60)</f>
        <v>431115490.60000002</v>
      </c>
      <c r="E58" s="75">
        <f t="shared" ref="E58:F58" si="20">SUM(E59:E60)</f>
        <v>915201158</v>
      </c>
      <c r="F58" s="75">
        <f t="shared" si="20"/>
        <v>-484085667.39999998</v>
      </c>
      <c r="G58" s="166">
        <f>+F58/E58</f>
        <v>-0.52893908969463954</v>
      </c>
      <c r="H58" s="169">
        <v>91</v>
      </c>
      <c r="I58" s="44" t="s">
        <v>111</v>
      </c>
      <c r="J58" s="43"/>
      <c r="K58" s="75">
        <f>SUM(K59:K61)</f>
        <v>6450320797.6000004</v>
      </c>
      <c r="L58" s="75">
        <f>SUM(L59:L61)</f>
        <v>5473649416.04</v>
      </c>
      <c r="M58" s="75">
        <f>SUM(M59:M61)</f>
        <v>976671381.56000006</v>
      </c>
      <c r="N58" s="111">
        <f>+M58/L58</f>
        <v>0.17843148278696094</v>
      </c>
      <c r="P58" s="12">
        <f>+D56-K56</f>
        <v>0</v>
      </c>
    </row>
    <row r="59" spans="1:26" s="2" customFormat="1" ht="33.75" x14ac:dyDescent="0.2">
      <c r="A59" s="113">
        <v>8120</v>
      </c>
      <c r="B59" s="76" t="s">
        <v>108</v>
      </c>
      <c r="C59" s="68"/>
      <c r="D59" s="193">
        <v>13584767.6</v>
      </c>
      <c r="E59" s="74">
        <v>13544742</v>
      </c>
      <c r="F59" s="74">
        <f>+D59-E59</f>
        <v>40025.599999999627</v>
      </c>
      <c r="G59" s="161">
        <f>+F59/E59</f>
        <v>2.9550655154597723E-3</v>
      </c>
      <c r="H59" s="164">
        <v>9120</v>
      </c>
      <c r="I59" s="76" t="s">
        <v>108</v>
      </c>
      <c r="J59" s="68"/>
      <c r="K59" s="193">
        <v>1148808091</v>
      </c>
      <c r="L59" s="193">
        <v>0</v>
      </c>
      <c r="M59" s="74">
        <f>+K59-L59</f>
        <v>1148808091</v>
      </c>
      <c r="N59" s="115" t="s">
        <v>6</v>
      </c>
    </row>
    <row r="60" spans="1:26" s="2" customFormat="1" ht="20.25" customHeight="1" x14ac:dyDescent="0.2">
      <c r="A60" s="113">
        <v>8190</v>
      </c>
      <c r="B60" s="76" t="s">
        <v>109</v>
      </c>
      <c r="C60" s="68"/>
      <c r="D60" s="193">
        <v>417530723</v>
      </c>
      <c r="E60" s="74">
        <v>901656416</v>
      </c>
      <c r="F60" s="74">
        <f>+D60-E60</f>
        <v>-484125693</v>
      </c>
      <c r="G60" s="161">
        <f>+F60/E60</f>
        <v>-0.53692923868685694</v>
      </c>
      <c r="H60" s="164">
        <v>9128</v>
      </c>
      <c r="I60" s="76" t="s">
        <v>112</v>
      </c>
      <c r="J60" s="68"/>
      <c r="K60" s="193">
        <v>966121051.60000002</v>
      </c>
      <c r="L60" s="74">
        <v>1545347654.04</v>
      </c>
      <c r="M60" s="74">
        <f>+K60-L60</f>
        <v>-579226602.43999994</v>
      </c>
      <c r="N60" s="112">
        <f t="shared" ref="N60:N63" si="21">+M60/L60</f>
        <v>-0.3748196083423227</v>
      </c>
    </row>
    <row r="61" spans="1:26" s="2" customFormat="1" ht="21" customHeight="1" x14ac:dyDescent="0.2">
      <c r="A61" s="114"/>
      <c r="B61" s="90"/>
      <c r="C61" s="68"/>
      <c r="D61" s="78"/>
      <c r="E61" s="78"/>
      <c r="F61" s="78"/>
      <c r="G61" s="148"/>
      <c r="H61" s="164">
        <v>9190</v>
      </c>
      <c r="I61" s="76" t="s">
        <v>166</v>
      </c>
      <c r="J61" s="68"/>
      <c r="K61" s="193">
        <v>4335391655</v>
      </c>
      <c r="L61" s="74">
        <v>3928301762</v>
      </c>
      <c r="M61" s="74">
        <f>+K61-L61</f>
        <v>407089893</v>
      </c>
      <c r="N61" s="112">
        <f t="shared" si="21"/>
        <v>0.10362999526613251</v>
      </c>
    </row>
    <row r="62" spans="1:26" s="2" customFormat="1" ht="21" customHeight="1" x14ac:dyDescent="0.2">
      <c r="A62" s="114"/>
      <c r="B62" s="90"/>
      <c r="C62" s="68"/>
      <c r="D62" s="78"/>
      <c r="E62" s="78"/>
      <c r="F62" s="78"/>
      <c r="G62" s="148"/>
      <c r="H62" s="169">
        <v>93</v>
      </c>
      <c r="I62" s="44" t="s">
        <v>177</v>
      </c>
      <c r="J62" s="43"/>
      <c r="K62" s="75">
        <f>SUM(K63)</f>
        <v>18431617000</v>
      </c>
      <c r="L62" s="75">
        <f>SUM(L63)</f>
        <v>10468817000</v>
      </c>
      <c r="M62" s="75">
        <f>SUM(M63)</f>
        <v>7962800000</v>
      </c>
      <c r="N62" s="111">
        <f>+M62/L62</f>
        <v>0.76062080366864759</v>
      </c>
    </row>
    <row r="63" spans="1:26" s="2" customFormat="1" ht="22.5" x14ac:dyDescent="0.2">
      <c r="A63" s="114"/>
      <c r="B63" s="90"/>
      <c r="C63" s="68"/>
      <c r="D63" s="78"/>
      <c r="E63" s="78"/>
      <c r="F63" s="78"/>
      <c r="G63" s="148"/>
      <c r="H63" s="164">
        <v>9390</v>
      </c>
      <c r="I63" s="76" t="s">
        <v>196</v>
      </c>
      <c r="J63" s="68"/>
      <c r="K63" s="193">
        <v>18431617000</v>
      </c>
      <c r="L63" s="74">
        <v>10468817000</v>
      </c>
      <c r="M63" s="74">
        <f>+K63-L63</f>
        <v>7962800000</v>
      </c>
      <c r="N63" s="112">
        <f t="shared" si="21"/>
        <v>0.76062080366864759</v>
      </c>
      <c r="V63" s="81"/>
    </row>
    <row r="64" spans="1:26" s="2" customFormat="1" ht="22.5" x14ac:dyDescent="0.2">
      <c r="A64" s="114">
        <v>89</v>
      </c>
      <c r="B64" s="44" t="s">
        <v>164</v>
      </c>
      <c r="C64" s="43"/>
      <c r="D64" s="75">
        <f>SUM(D65:D66)</f>
        <v>-431115490.60000002</v>
      </c>
      <c r="E64" s="75">
        <f>SUM(E65:E66)</f>
        <v>-915201158</v>
      </c>
      <c r="F64" s="75">
        <f>SUM(F65:F66)</f>
        <v>484085667.39999998</v>
      </c>
      <c r="G64" s="163">
        <f>+F64/E64</f>
        <v>-0.52893908969463954</v>
      </c>
      <c r="H64" s="165">
        <v>99</v>
      </c>
      <c r="I64" s="90" t="s">
        <v>163</v>
      </c>
      <c r="J64" s="43"/>
      <c r="K64" s="78">
        <f>SUM(K65:K66)</f>
        <v>-24881937797.599998</v>
      </c>
      <c r="L64" s="78">
        <f>SUM(L65:L66)</f>
        <v>-15942466416.040001</v>
      </c>
      <c r="M64" s="78">
        <f>SUM(M65:M66)</f>
        <v>-8939471381.5600014</v>
      </c>
      <c r="N64" s="170">
        <f>+M64/L64</f>
        <v>0.56073327352697688</v>
      </c>
      <c r="U64" s="81"/>
      <c r="V64" s="81"/>
    </row>
    <row r="65" spans="1:20" ht="22.5" x14ac:dyDescent="0.2">
      <c r="A65" s="113">
        <v>8905</v>
      </c>
      <c r="B65" s="76" t="s">
        <v>110</v>
      </c>
      <c r="C65" s="43"/>
      <c r="D65" s="193">
        <v>-431115490.60000002</v>
      </c>
      <c r="E65" s="74">
        <v>-915201158</v>
      </c>
      <c r="F65" s="74">
        <f>+D65-E65</f>
        <v>484085667.39999998</v>
      </c>
      <c r="G65" s="171">
        <f>+F65/E65</f>
        <v>-0.52893908969463954</v>
      </c>
      <c r="H65" s="49">
        <v>9905</v>
      </c>
      <c r="I65" s="76" t="s">
        <v>168</v>
      </c>
      <c r="J65" s="43"/>
      <c r="K65" s="74">
        <v>-6450320797.6000004</v>
      </c>
      <c r="L65" s="74">
        <v>-5473649416.04</v>
      </c>
      <c r="M65" s="74">
        <f>+K65-L65</f>
        <v>-976671381.56000042</v>
      </c>
      <c r="N65" s="115">
        <f t="shared" ref="N65:N66" si="22">+M65/L65</f>
        <v>0.178431482786961</v>
      </c>
      <c r="O65" s="2"/>
      <c r="P65" s="2"/>
      <c r="Q65" s="2"/>
      <c r="R65" s="2"/>
      <c r="S65" s="2"/>
      <c r="T65" s="2"/>
    </row>
    <row r="66" spans="1:20" ht="22.5" x14ac:dyDescent="0.2">
      <c r="A66" s="113"/>
      <c r="B66" s="76"/>
      <c r="C66" s="68"/>
      <c r="D66" s="79"/>
      <c r="E66" s="79"/>
      <c r="F66" s="74"/>
      <c r="G66" s="172"/>
      <c r="H66" s="49">
        <v>9915</v>
      </c>
      <c r="I66" s="76" t="s">
        <v>171</v>
      </c>
      <c r="J66" s="68"/>
      <c r="K66" s="74">
        <v>-18431617000</v>
      </c>
      <c r="L66" s="74">
        <v>-10468817000</v>
      </c>
      <c r="M66" s="74">
        <f>+K66-L66</f>
        <v>-7962800000</v>
      </c>
      <c r="N66" s="115">
        <f t="shared" si="22"/>
        <v>0.76062080366864759</v>
      </c>
      <c r="O66" s="2"/>
      <c r="P66" s="2"/>
      <c r="Q66" s="2"/>
      <c r="R66" s="2"/>
      <c r="S66" s="2"/>
      <c r="T66" s="2"/>
    </row>
    <row r="67" spans="1:20" ht="24" customHeight="1" x14ac:dyDescent="0.2">
      <c r="A67" s="113"/>
      <c r="B67" s="76"/>
      <c r="C67" s="68"/>
      <c r="D67" s="79"/>
      <c r="E67" s="79"/>
      <c r="F67" s="74"/>
      <c r="G67" s="162"/>
      <c r="H67" s="49"/>
      <c r="I67" s="76"/>
      <c r="J67" s="68"/>
      <c r="K67" s="79"/>
      <c r="L67" s="79"/>
      <c r="M67" s="74"/>
      <c r="N67" s="115"/>
    </row>
    <row r="68" spans="1:20" ht="40.5" customHeight="1" x14ac:dyDescent="0.2">
      <c r="A68" s="321" t="s">
        <v>204</v>
      </c>
      <c r="B68" s="323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4"/>
    </row>
    <row r="69" spans="1:20" x14ac:dyDescent="0.2">
      <c r="A69" s="103"/>
      <c r="B69" s="6"/>
      <c r="C69" s="70"/>
      <c r="D69" s="22"/>
      <c r="E69" s="5"/>
      <c r="F69" s="5"/>
      <c r="G69" s="5"/>
      <c r="H69" s="6"/>
      <c r="I69" s="22"/>
      <c r="J69" s="72"/>
      <c r="K69" s="22"/>
      <c r="L69" s="5"/>
      <c r="M69" s="5"/>
      <c r="N69" s="118"/>
    </row>
    <row r="70" spans="1:20" x14ac:dyDescent="0.2">
      <c r="A70" s="103"/>
      <c r="B70" s="6"/>
      <c r="C70" s="70"/>
      <c r="D70" s="22"/>
      <c r="E70" s="5"/>
      <c r="F70" s="5"/>
      <c r="G70" s="5"/>
      <c r="H70" s="6"/>
      <c r="I70" s="6"/>
      <c r="J70" s="70"/>
      <c r="K70" s="22"/>
      <c r="L70" s="5"/>
      <c r="M70" s="5"/>
      <c r="N70" s="118"/>
    </row>
    <row r="71" spans="1:20" x14ac:dyDescent="0.2">
      <c r="A71" s="303" t="s">
        <v>189</v>
      </c>
      <c r="B71" s="304"/>
      <c r="C71" s="304"/>
      <c r="D71" s="304"/>
      <c r="E71" s="199" t="s">
        <v>66</v>
      </c>
      <c r="F71" s="18"/>
      <c r="G71" s="18"/>
      <c r="H71" s="7"/>
      <c r="I71" s="7"/>
      <c r="J71" s="66"/>
      <c r="K71" s="82" t="s">
        <v>172</v>
      </c>
      <c r="L71" s="18"/>
      <c r="M71" s="5"/>
      <c r="N71" s="118"/>
    </row>
    <row r="72" spans="1:20" x14ac:dyDescent="0.2">
      <c r="A72" s="305" t="s">
        <v>190</v>
      </c>
      <c r="B72" s="306"/>
      <c r="C72" s="306"/>
      <c r="D72" s="306"/>
      <c r="E72" s="202" t="s">
        <v>67</v>
      </c>
      <c r="F72" s="202"/>
      <c r="G72" s="202"/>
      <c r="H72" s="202"/>
      <c r="I72" s="198"/>
      <c r="J72" s="198"/>
      <c r="K72" s="82" t="s">
        <v>29</v>
      </c>
      <c r="L72" s="91"/>
      <c r="M72" s="92"/>
      <c r="N72" s="119"/>
    </row>
    <row r="73" spans="1:20" x14ac:dyDescent="0.2">
      <c r="A73" s="307" t="s">
        <v>191</v>
      </c>
      <c r="B73" s="308"/>
      <c r="C73" s="308"/>
      <c r="D73" s="308"/>
      <c r="E73" s="203" t="s">
        <v>113</v>
      </c>
      <c r="F73" s="203"/>
      <c r="G73" s="203"/>
      <c r="H73" s="203"/>
      <c r="I73" s="7"/>
      <c r="J73" s="196"/>
      <c r="K73" s="197" t="s">
        <v>114</v>
      </c>
      <c r="L73" s="91"/>
      <c r="M73" s="92"/>
      <c r="N73" s="119"/>
    </row>
    <row r="74" spans="1:20" ht="13.5" thickBot="1" x14ac:dyDescent="0.25">
      <c r="A74" s="301"/>
      <c r="B74" s="302"/>
      <c r="C74" s="195"/>
      <c r="D74" s="120"/>
      <c r="E74" s="195"/>
      <c r="F74" s="195"/>
      <c r="G74" s="195"/>
      <c r="H74" s="195"/>
      <c r="I74" s="195"/>
      <c r="J74" s="195"/>
      <c r="K74" s="154" t="s">
        <v>115</v>
      </c>
      <c r="L74" s="121"/>
      <c r="M74" s="122"/>
      <c r="N74" s="123"/>
    </row>
    <row r="78" spans="1:20" ht="13.5" thickBot="1" x14ac:dyDescent="0.25">
      <c r="A78" s="81">
        <v>1</v>
      </c>
      <c r="B78" s="24" t="s">
        <v>30</v>
      </c>
      <c r="C78" s="24"/>
      <c r="D78" s="19">
        <v>2022</v>
      </c>
      <c r="E78" s="19">
        <v>2021</v>
      </c>
      <c r="K78" s="36" t="s">
        <v>175</v>
      </c>
    </row>
    <row r="79" spans="1:20" hidden="1" x14ac:dyDescent="0.2"/>
    <row r="80" spans="1:20" x14ac:dyDescent="0.2">
      <c r="A80" s="81">
        <v>1.1000000000000001</v>
      </c>
      <c r="B80" s="3" t="s">
        <v>31</v>
      </c>
      <c r="C80" s="8"/>
      <c r="D80" s="14">
        <f>+D9-K9</f>
        <v>253151034706.45004</v>
      </c>
      <c r="E80" s="14">
        <f>+E9-L9</f>
        <v>242651792268.60001</v>
      </c>
      <c r="F80" s="17" t="s">
        <v>32</v>
      </c>
      <c r="I80" s="14">
        <f>+D80-E80</f>
        <v>10499242437.850037</v>
      </c>
      <c r="J80" s="73"/>
      <c r="K80" s="111">
        <f>+I80/E80</f>
        <v>4.3268761131704511E-2</v>
      </c>
    </row>
    <row r="81" spans="1:14" x14ac:dyDescent="0.2">
      <c r="A81" s="81">
        <v>1.2</v>
      </c>
      <c r="B81" s="3" t="s">
        <v>33</v>
      </c>
      <c r="C81" s="8"/>
      <c r="D81" s="14">
        <f>+D9/K9</f>
        <v>7.8986481643822755</v>
      </c>
      <c r="E81" s="14">
        <f>+E9/L9</f>
        <v>7.3358731438151734</v>
      </c>
      <c r="F81" s="17" t="s">
        <v>34</v>
      </c>
      <c r="I81" s="14">
        <f>+D81-E81</f>
        <v>0.56277502056710205</v>
      </c>
      <c r="J81" s="73"/>
      <c r="K81" s="111">
        <f>+I81/E81</f>
        <v>7.6715478789539049E-2</v>
      </c>
    </row>
    <row r="83" spans="1:14" x14ac:dyDescent="0.2">
      <c r="A83" s="81">
        <v>2</v>
      </c>
      <c r="B83" s="3" t="s">
        <v>35</v>
      </c>
      <c r="C83" s="8"/>
      <c r="D83" s="14">
        <f>+K41/D56*100</f>
        <v>5.989315122946639</v>
      </c>
      <c r="E83" s="14">
        <f>+L41/E56*100</f>
        <v>6.3243052348588877</v>
      </c>
      <c r="F83" s="17" t="s">
        <v>36</v>
      </c>
      <c r="I83" s="14">
        <f>+D83-E83</f>
        <v>-0.3349901119122487</v>
      </c>
      <c r="J83" s="73"/>
      <c r="K83" s="111">
        <f>+I83/E83</f>
        <v>-5.296868185074613E-2</v>
      </c>
    </row>
    <row r="85" spans="1:14" x14ac:dyDescent="0.2">
      <c r="B85" s="24"/>
      <c r="C85" s="24"/>
      <c r="D85" s="17" t="e">
        <f>+D9-#REF!</f>
        <v>#REF!</v>
      </c>
      <c r="E85" s="17"/>
      <c r="F85" s="18"/>
      <c r="G85" s="10"/>
      <c r="H85" s="25"/>
      <c r="I85" s="80"/>
      <c r="K85" s="9"/>
      <c r="L85" s="299"/>
      <c r="M85" s="299"/>
      <c r="N85" s="299"/>
    </row>
    <row r="86" spans="1:14" x14ac:dyDescent="0.2">
      <c r="D86" s="14" t="e">
        <f>+D85/K9</f>
        <v>#REF!</v>
      </c>
    </row>
    <row r="88" spans="1:14" x14ac:dyDescent="0.2">
      <c r="I88" s="14"/>
      <c r="J88" s="73"/>
    </row>
  </sheetData>
  <mergeCells count="21">
    <mergeCell ref="A68:N68"/>
    <mergeCell ref="P6:Q6"/>
    <mergeCell ref="R6:S6"/>
    <mergeCell ref="L85:N85"/>
    <mergeCell ref="A71:D71"/>
    <mergeCell ref="A72:D72"/>
    <mergeCell ref="A73:D73"/>
    <mergeCell ref="A74:B74"/>
    <mergeCell ref="A6:A7"/>
    <mergeCell ref="B6:B7"/>
    <mergeCell ref="C6:C7"/>
    <mergeCell ref="G6:G7"/>
    <mergeCell ref="H6:H7"/>
    <mergeCell ref="I6:I7"/>
    <mergeCell ref="J6:J7"/>
    <mergeCell ref="N6:N7"/>
    <mergeCell ref="A1:N1"/>
    <mergeCell ref="A2:N2"/>
    <mergeCell ref="A3:N3"/>
    <mergeCell ref="A4:N4"/>
    <mergeCell ref="A5:N5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6CE0-D773-4BB5-8B1E-89D75B4A5B92}">
  <dimension ref="A1:AD87"/>
  <sheetViews>
    <sheetView zoomScaleNormal="100" workbookViewId="0">
      <selection activeCell="E62" sqref="E62"/>
    </sheetView>
  </sheetViews>
  <sheetFormatPr baseColWidth="10" defaultColWidth="11.42578125" defaultRowHeight="12.75" x14ac:dyDescent="0.2"/>
  <cols>
    <col min="1" max="1" width="5.140625" style="81" customWidth="1"/>
    <col min="2" max="2" width="26.85546875" style="81" customWidth="1"/>
    <col min="3" max="3" width="0.7109375" style="71" customWidth="1"/>
    <col min="4" max="4" width="17.85546875" style="14" customWidth="1"/>
    <col min="5" max="5" width="20.7109375" style="14" customWidth="1"/>
    <col min="6" max="6" width="1" style="14" hidden="1" customWidth="1"/>
    <col min="7" max="7" width="8" style="14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140625" style="21" customWidth="1"/>
    <col min="12" max="12" width="14.28515625" style="14" bestFit="1" customWidth="1"/>
    <col min="13" max="13" width="14.28515625" style="14" hidden="1" customWidth="1"/>
    <col min="14" max="14" width="7.1406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85" t="s">
        <v>174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7"/>
    </row>
    <row r="2" spans="1:25" s="1" customFormat="1" ht="18" x14ac:dyDescent="0.25">
      <c r="A2" s="288" t="s">
        <v>167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90"/>
    </row>
    <row r="3" spans="1:25" s="1" customFormat="1" ht="18" x14ac:dyDescent="0.25">
      <c r="A3" s="288" t="s">
        <v>173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1:25" s="1" customFormat="1" ht="18" x14ac:dyDescent="0.25">
      <c r="A4" s="288" t="s">
        <v>206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90"/>
    </row>
    <row r="5" spans="1:25" s="1" customFormat="1" ht="18" x14ac:dyDescent="0.25">
      <c r="A5" s="291" t="s">
        <v>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3"/>
    </row>
    <row r="6" spans="1:25" s="2" customFormat="1" ht="14.25" customHeight="1" x14ac:dyDescent="0.2">
      <c r="A6" s="294" t="s">
        <v>0</v>
      </c>
      <c r="B6" s="295" t="s">
        <v>38</v>
      </c>
      <c r="C6" s="295"/>
      <c r="D6" s="93">
        <v>2025</v>
      </c>
      <c r="E6" s="93">
        <v>2025</v>
      </c>
      <c r="F6" s="43" t="s">
        <v>2</v>
      </c>
      <c r="G6" s="296" t="s">
        <v>151</v>
      </c>
      <c r="H6" s="297" t="s">
        <v>0</v>
      </c>
      <c r="I6" s="295" t="s">
        <v>38</v>
      </c>
      <c r="J6" s="295"/>
      <c r="K6" s="93">
        <v>2025</v>
      </c>
      <c r="L6" s="93">
        <v>2025</v>
      </c>
      <c r="M6" s="43" t="s">
        <v>2</v>
      </c>
      <c r="N6" s="298" t="s">
        <v>151</v>
      </c>
      <c r="P6" s="300" t="s">
        <v>1</v>
      </c>
      <c r="Q6" s="300"/>
      <c r="R6" s="300" t="s">
        <v>4</v>
      </c>
      <c r="S6" s="300"/>
    </row>
    <row r="7" spans="1:25" s="2" customFormat="1" ht="12" customHeight="1" x14ac:dyDescent="0.2">
      <c r="A7" s="294"/>
      <c r="B7" s="295"/>
      <c r="C7" s="295"/>
      <c r="D7" s="93" t="s">
        <v>181</v>
      </c>
      <c r="E7" s="93" t="s">
        <v>185</v>
      </c>
      <c r="F7" s="43" t="s">
        <v>5</v>
      </c>
      <c r="G7" s="296"/>
      <c r="H7" s="297"/>
      <c r="I7" s="295"/>
      <c r="J7" s="295"/>
      <c r="K7" s="93" t="s">
        <v>181</v>
      </c>
      <c r="L7" s="93" t="s">
        <v>185</v>
      </c>
      <c r="M7" s="43" t="s">
        <v>5</v>
      </c>
      <c r="N7" s="298"/>
    </row>
    <row r="8" spans="1:25" s="2" customFormat="1" ht="15.75" customHeight="1" x14ac:dyDescent="0.2">
      <c r="A8" s="109"/>
      <c r="B8" s="186" t="s">
        <v>1</v>
      </c>
      <c r="C8" s="43"/>
      <c r="D8" s="89"/>
      <c r="E8" s="89"/>
      <c r="F8" s="89"/>
      <c r="G8" s="124"/>
      <c r="H8" s="41"/>
      <c r="I8" s="186" t="s">
        <v>3</v>
      </c>
      <c r="J8" s="43"/>
      <c r="K8" s="20"/>
      <c r="L8" s="42"/>
      <c r="M8" s="42"/>
      <c r="N8" s="110"/>
    </row>
    <row r="9" spans="1:25" s="2" customFormat="1" ht="19.5" customHeight="1" x14ac:dyDescent="0.2">
      <c r="A9" s="109"/>
      <c r="B9" s="40" t="s">
        <v>69</v>
      </c>
      <c r="C9" s="43"/>
      <c r="D9" s="127">
        <f>+D10+D14+D16+D21+D25</f>
        <v>299282494782.44995</v>
      </c>
      <c r="E9" s="127">
        <f>+E10+E14+E16+E21+E25</f>
        <v>290092727711.67999</v>
      </c>
      <c r="F9" s="127">
        <f>+F10+F14+F16+F21+F25</f>
        <v>9189767070.7699738</v>
      </c>
      <c r="G9" s="128">
        <f t="shared" ref="G9:G18" si="0">+F9/E9</f>
        <v>3.1678722673474199E-2</v>
      </c>
      <c r="H9" s="41"/>
      <c r="I9" s="40" t="s">
        <v>93</v>
      </c>
      <c r="J9" s="43"/>
      <c r="K9" s="127">
        <f>+K10+K19+K22+K25</f>
        <v>50578157316.119995</v>
      </c>
      <c r="L9" s="127">
        <f t="shared" ref="L9:M9" si="1">+L10+L19+L22+L25</f>
        <v>36695745119.089996</v>
      </c>
      <c r="M9" s="127">
        <f t="shared" si="1"/>
        <v>13882412197.030001</v>
      </c>
      <c r="N9" s="129">
        <f>+M9/L9</f>
        <v>0.37831122251304389</v>
      </c>
      <c r="P9" s="32">
        <f>+D9/D9*100</f>
        <v>100</v>
      </c>
      <c r="Q9" s="39">
        <f>+D9/D55*100</f>
        <v>46.803263229521555</v>
      </c>
    </row>
    <row r="10" spans="1:25" s="2" customFormat="1" ht="24" customHeight="1" x14ac:dyDescent="0.2">
      <c r="A10" s="114">
        <v>11</v>
      </c>
      <c r="B10" s="140" t="s">
        <v>70</v>
      </c>
      <c r="C10" s="43"/>
      <c r="D10" s="75">
        <f>SUM(D11:D13)</f>
        <v>216920804519</v>
      </c>
      <c r="E10" s="75">
        <f>SUM(E11:E13)</f>
        <v>196387619272.09003</v>
      </c>
      <c r="F10" s="75">
        <f>SUM(F11:F13)</f>
        <v>20533185246.909981</v>
      </c>
      <c r="G10" s="125">
        <f t="shared" si="0"/>
        <v>0.10455437732284832</v>
      </c>
      <c r="H10" s="45">
        <v>24</v>
      </c>
      <c r="I10" s="44" t="s">
        <v>94</v>
      </c>
      <c r="J10" s="43"/>
      <c r="K10" s="75">
        <f>SUM(K11:K17)</f>
        <v>4771456968.1700001</v>
      </c>
      <c r="L10" s="75">
        <f>SUM(L11:L17)</f>
        <v>6972746569.9099998</v>
      </c>
      <c r="M10" s="75">
        <f t="shared" ref="M10" si="2">SUM(M11:M17)</f>
        <v>-2201289601.7399998</v>
      </c>
      <c r="N10" s="111">
        <f t="shared" ref="N10:N14" si="3">+M10/L10</f>
        <v>-0.31569906917876306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193">
        <v>751821690</v>
      </c>
      <c r="E11" s="193">
        <v>751821690</v>
      </c>
      <c r="F11" s="74">
        <f>+D11-E11</f>
        <v>0</v>
      </c>
      <c r="G11" s="126">
        <f t="shared" si="0"/>
        <v>0</v>
      </c>
      <c r="H11" s="46">
        <v>2401</v>
      </c>
      <c r="I11" s="76" t="s">
        <v>95</v>
      </c>
      <c r="J11" s="68"/>
      <c r="K11" s="193">
        <v>2089635634.3299999</v>
      </c>
      <c r="L11" s="193">
        <v>3122485145.8099999</v>
      </c>
      <c r="M11" s="74">
        <f>+K11-L11</f>
        <v>-1032849511.48</v>
      </c>
      <c r="N11" s="112">
        <f t="shared" si="3"/>
        <v>-0.33077803840506975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193">
        <v>215736740935.14999</v>
      </c>
      <c r="E12" s="193">
        <v>189883568501.64001</v>
      </c>
      <c r="F12" s="74">
        <f>+D12-E12</f>
        <v>25853172433.509979</v>
      </c>
      <c r="G12" s="126">
        <f t="shared" si="0"/>
        <v>0.13615276265090145</v>
      </c>
      <c r="H12" s="46">
        <v>2407</v>
      </c>
      <c r="I12" s="76" t="s">
        <v>96</v>
      </c>
      <c r="J12" s="68"/>
      <c r="K12" s="193">
        <v>16536606</v>
      </c>
      <c r="L12" s="193">
        <v>39955628</v>
      </c>
      <c r="M12" s="74">
        <f t="shared" ref="M12:M15" si="4">+K12-L12</f>
        <v>-23419022</v>
      </c>
      <c r="N12" s="112">
        <f t="shared" si="3"/>
        <v>-0.58612573928258616</v>
      </c>
      <c r="P12" s="11">
        <f>+D10/$D$9*100</f>
        <v>72.480284781333737</v>
      </c>
      <c r="S12" s="11">
        <f>+K10/$K$35*100</f>
        <v>1543.4526498924754</v>
      </c>
    </row>
    <row r="13" spans="1:25" s="2" customFormat="1" ht="19.5" customHeight="1" x14ac:dyDescent="0.2">
      <c r="A13" s="109">
        <v>1133</v>
      </c>
      <c r="B13" s="41" t="s">
        <v>72</v>
      </c>
      <c r="C13" s="68"/>
      <c r="D13" s="193">
        <v>432241893.85000002</v>
      </c>
      <c r="E13" s="193">
        <v>5752229080.4499998</v>
      </c>
      <c r="F13" s="74">
        <f>+D13-E13</f>
        <v>-5319987186.5999994</v>
      </c>
      <c r="G13" s="126">
        <f t="shared" si="0"/>
        <v>-0.92485662726488882</v>
      </c>
      <c r="H13" s="46">
        <v>2424</v>
      </c>
      <c r="I13" s="76" t="s">
        <v>97</v>
      </c>
      <c r="J13" s="68"/>
      <c r="K13" s="193">
        <v>1457378014</v>
      </c>
      <c r="L13" s="193">
        <v>2084091363</v>
      </c>
      <c r="M13" s="74">
        <f t="shared" si="4"/>
        <v>-626713349</v>
      </c>
      <c r="N13" s="112">
        <f t="shared" si="3"/>
        <v>-0.30071299182290218</v>
      </c>
      <c r="P13" s="11">
        <f>+D18/$D$9*100</f>
        <v>2.4553724752066314E-4</v>
      </c>
      <c r="R13" s="11">
        <f>+K11/$K$10*100</f>
        <v>43.794498164183153</v>
      </c>
      <c r="S13" s="11"/>
    </row>
    <row r="14" spans="1:25" s="2" customFormat="1" ht="22.5" x14ac:dyDescent="0.2">
      <c r="A14" s="114">
        <v>12</v>
      </c>
      <c r="B14" s="140" t="s">
        <v>201</v>
      </c>
      <c r="C14" s="68"/>
      <c r="D14" s="75">
        <f>+D15</f>
        <v>51541631581.419998</v>
      </c>
      <c r="E14" s="75">
        <f t="shared" ref="E14:F14" si="5">+E15</f>
        <v>85650044038.410004</v>
      </c>
      <c r="F14" s="75">
        <f t="shared" si="5"/>
        <v>-34108412456.990005</v>
      </c>
      <c r="G14" s="125">
        <f t="shared" si="0"/>
        <v>-0.39822994652161525</v>
      </c>
      <c r="H14" s="46">
        <v>2436</v>
      </c>
      <c r="I14" s="76" t="s">
        <v>98</v>
      </c>
      <c r="J14" s="68"/>
      <c r="K14" s="193">
        <v>395261992.69</v>
      </c>
      <c r="L14" s="193">
        <v>356695422.69</v>
      </c>
      <c r="M14" s="74">
        <f t="shared" si="4"/>
        <v>38566570</v>
      </c>
      <c r="N14" s="112">
        <f t="shared" si="3"/>
        <v>0.10812185283778585</v>
      </c>
      <c r="P14" s="11"/>
      <c r="R14" s="11"/>
      <c r="S14" s="11"/>
      <c r="Y14" s="12"/>
    </row>
    <row r="15" spans="1:25" s="2" customFormat="1" ht="27" customHeight="1" x14ac:dyDescent="0.2">
      <c r="A15" s="200">
        <v>1223</v>
      </c>
      <c r="B15" s="201" t="s">
        <v>200</v>
      </c>
      <c r="C15" s="43"/>
      <c r="D15" s="193">
        <v>51541631581.419998</v>
      </c>
      <c r="E15" s="193">
        <v>85650044038.410004</v>
      </c>
      <c r="F15" s="74">
        <f>+D15-E15</f>
        <v>-34108412456.990005</v>
      </c>
      <c r="G15" s="126">
        <f t="shared" si="0"/>
        <v>-0.39822994652161525</v>
      </c>
      <c r="H15" s="46">
        <v>2440</v>
      </c>
      <c r="I15" s="76" t="s">
        <v>99</v>
      </c>
      <c r="J15" s="68"/>
      <c r="K15" s="193">
        <v>55344222</v>
      </c>
      <c r="L15" s="193">
        <v>325792038.60000002</v>
      </c>
      <c r="M15" s="74">
        <f t="shared" si="4"/>
        <v>-270447816.60000002</v>
      </c>
      <c r="N15" s="112">
        <f>+M15/L15</f>
        <v>-0.83012408087740175</v>
      </c>
      <c r="P15" s="11"/>
      <c r="R15" s="11">
        <f>+K12/$K$10*100</f>
        <v>0.34657351224823674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SUM(D17:D20)</f>
        <v>29356243259.75</v>
      </c>
      <c r="E16" s="75">
        <f t="shared" ref="E16:F16" si="6">SUM(E17:E20)</f>
        <v>5922453896.1999998</v>
      </c>
      <c r="F16" s="75">
        <f t="shared" si="6"/>
        <v>23433789363.549999</v>
      </c>
      <c r="G16" s="125">
        <f t="shared" si="0"/>
        <v>3.9567702466347145</v>
      </c>
      <c r="H16" s="41">
        <v>2490</v>
      </c>
      <c r="I16" s="41" t="s">
        <v>100</v>
      </c>
      <c r="J16" s="68"/>
      <c r="K16" s="193">
        <v>757300499.14999998</v>
      </c>
      <c r="L16" s="193">
        <v>1043726971.8099999</v>
      </c>
      <c r="M16" s="74">
        <f t="shared" ref="M16" si="7">+K16-L16</f>
        <v>-286426472.65999997</v>
      </c>
      <c r="N16" s="112">
        <f t="shared" ref="N16" si="8">+M16/L16</f>
        <v>-0.27442662726564188</v>
      </c>
      <c r="P16" s="11">
        <f>+D20/$D$9*100</f>
        <v>0</v>
      </c>
      <c r="R16" s="11">
        <f>+K13/$K$10*100</f>
        <v>30.543668814830561</v>
      </c>
      <c r="S16" s="11"/>
    </row>
    <row r="17" spans="1:30" s="2" customFormat="1" ht="15.75" customHeight="1" x14ac:dyDescent="0.2">
      <c r="A17" s="113">
        <v>1311</v>
      </c>
      <c r="B17" s="76" t="s">
        <v>199</v>
      </c>
      <c r="C17" s="68"/>
      <c r="D17" s="193">
        <v>119078451</v>
      </c>
      <c r="E17" s="193">
        <v>38438263</v>
      </c>
      <c r="F17" s="74">
        <f t="shared" ref="F17:F20" si="9">+D17-E17</f>
        <v>80640188</v>
      </c>
      <c r="G17" s="126">
        <f t="shared" si="0"/>
        <v>2.0979144661141427</v>
      </c>
      <c r="H17" s="41"/>
      <c r="I17" s="41"/>
      <c r="J17" s="68"/>
      <c r="K17" s="193"/>
      <c r="L17" s="193"/>
      <c r="M17" s="74"/>
      <c r="N17" s="112"/>
      <c r="P17" s="11" t="e">
        <f>+D21/$D$20*100</f>
        <v>#DIV/0!</v>
      </c>
      <c r="R17" s="11">
        <f>+K15/$K$10*100</f>
        <v>1.1599019412560312</v>
      </c>
      <c r="S17" s="11"/>
    </row>
    <row r="18" spans="1:30" s="2" customFormat="1" ht="18" customHeight="1" x14ac:dyDescent="0.2">
      <c r="A18" s="113">
        <v>1316</v>
      </c>
      <c r="B18" s="76" t="s">
        <v>7</v>
      </c>
      <c r="C18" s="68"/>
      <c r="D18" s="193">
        <v>734850</v>
      </c>
      <c r="E18" s="193">
        <v>292750</v>
      </c>
      <c r="F18" s="74">
        <f t="shared" si="9"/>
        <v>442100</v>
      </c>
      <c r="G18" s="126">
        <f t="shared" si="0"/>
        <v>1.5101622544833475</v>
      </c>
      <c r="H18" s="45"/>
      <c r="I18" s="140"/>
      <c r="J18" s="43"/>
      <c r="K18" s="75"/>
      <c r="L18" s="75"/>
      <c r="M18" s="75"/>
      <c r="N18" s="111"/>
      <c r="P18" s="11"/>
      <c r="R18" s="11">
        <f>+K16/$K$10*100</f>
        <v>15.871472889766999</v>
      </c>
      <c r="S18" s="11">
        <f>+K16/$K$35*100</f>
        <v>244.9686688940746</v>
      </c>
    </row>
    <row r="19" spans="1:30" s="2" customFormat="1" ht="25.5" customHeight="1" x14ac:dyDescent="0.2">
      <c r="A19" s="116">
        <v>1317</v>
      </c>
      <c r="B19" s="76" t="s">
        <v>74</v>
      </c>
      <c r="C19" s="68"/>
      <c r="D19" s="193">
        <v>29236429958.75</v>
      </c>
      <c r="E19" s="193">
        <v>5881908948</v>
      </c>
      <c r="F19" s="74">
        <f t="shared" si="9"/>
        <v>23354521010.75</v>
      </c>
      <c r="G19" s="126">
        <f t="shared" ref="G19:G28" si="10">+F19/E19</f>
        <v>3.9705682657143369</v>
      </c>
      <c r="H19" s="45">
        <v>25</v>
      </c>
      <c r="I19" s="140" t="s">
        <v>101</v>
      </c>
      <c r="J19" s="43"/>
      <c r="K19" s="75">
        <f>+K20</f>
        <v>20219484843.650002</v>
      </c>
      <c r="L19" s="75">
        <f>+L20</f>
        <v>15648990413.26</v>
      </c>
      <c r="M19" s="75">
        <f>+M20</f>
        <v>4570494430.3900013</v>
      </c>
      <c r="N19" s="111">
        <f>+M19/L19</f>
        <v>0.29206321364458393</v>
      </c>
      <c r="R19" s="11" t="e">
        <f>+#REF!/$K$10*100</f>
        <v>#REF!</v>
      </c>
      <c r="S19" s="11"/>
    </row>
    <row r="20" spans="1:30" s="2" customFormat="1" ht="24.75" customHeight="1" x14ac:dyDescent="0.2">
      <c r="A20" s="116">
        <v>1384</v>
      </c>
      <c r="B20" s="76" t="s">
        <v>75</v>
      </c>
      <c r="C20" s="68"/>
      <c r="D20" s="193">
        <v>0</v>
      </c>
      <c r="E20" s="193">
        <v>1813935.2</v>
      </c>
      <c r="F20" s="74">
        <f t="shared" si="9"/>
        <v>-1813935.2</v>
      </c>
      <c r="G20" s="126">
        <f t="shared" si="10"/>
        <v>-1</v>
      </c>
      <c r="H20" s="48">
        <v>2511</v>
      </c>
      <c r="I20" s="76" t="s">
        <v>102</v>
      </c>
      <c r="J20" s="68"/>
      <c r="K20" s="193">
        <v>20219484843.650002</v>
      </c>
      <c r="L20" s="193">
        <v>15648990413.26</v>
      </c>
      <c r="M20" s="74">
        <f>+K20-L20</f>
        <v>4570494430.3900013</v>
      </c>
      <c r="N20" s="112">
        <f>+M20/L20</f>
        <v>0.29206321364458393</v>
      </c>
      <c r="S20" s="11"/>
      <c r="X20" s="46"/>
      <c r="Y20" s="12"/>
      <c r="AD20" s="126"/>
    </row>
    <row r="21" spans="1:30" s="2" customFormat="1" ht="18" customHeight="1" x14ac:dyDescent="0.2">
      <c r="A21" s="114">
        <v>15</v>
      </c>
      <c r="B21" s="44" t="s">
        <v>77</v>
      </c>
      <c r="C21" s="43"/>
      <c r="D21" s="75">
        <f>SUM(D22:D24)</f>
        <v>861808909.23000002</v>
      </c>
      <c r="E21" s="75">
        <f>SUM(E22:E24)</f>
        <v>651714729.06000006</v>
      </c>
      <c r="F21" s="75">
        <f>SUM(F22:F24)</f>
        <v>210094180.17000002</v>
      </c>
      <c r="G21" s="125">
        <f t="shared" si="10"/>
        <v>0.32237138551867489</v>
      </c>
      <c r="H21" s="41"/>
      <c r="I21" s="41"/>
      <c r="J21" s="68"/>
      <c r="K21" s="74"/>
      <c r="L21" s="74"/>
      <c r="M21" s="74"/>
      <c r="N21" s="117"/>
      <c r="P21" s="11" t="e">
        <f>+D22/$D$20*100</f>
        <v>#DIV/0!</v>
      </c>
      <c r="R21" s="11"/>
      <c r="S21" s="11"/>
    </row>
    <row r="22" spans="1:30" s="2" customFormat="1" ht="18" customHeight="1" x14ac:dyDescent="0.2">
      <c r="A22" s="116">
        <v>1510</v>
      </c>
      <c r="B22" s="76" t="s">
        <v>78</v>
      </c>
      <c r="C22" s="68"/>
      <c r="D22" s="193">
        <v>167280838</v>
      </c>
      <c r="E22" s="193">
        <v>190467066.69</v>
      </c>
      <c r="F22" s="74">
        <f>+D22-E22</f>
        <v>-23186228.689999998</v>
      </c>
      <c r="G22" s="126">
        <f t="shared" si="10"/>
        <v>-0.12173353164375336</v>
      </c>
      <c r="H22" s="45">
        <v>27</v>
      </c>
      <c r="I22" s="44" t="s">
        <v>103</v>
      </c>
      <c r="J22" s="43"/>
      <c r="K22" s="75">
        <f>SUM(K23:K24)</f>
        <v>362724921</v>
      </c>
      <c r="L22" s="75">
        <f>SUM(L23:L24)</f>
        <v>232140630</v>
      </c>
      <c r="M22" s="75">
        <f>SUM(M23:M24)</f>
        <v>130584291</v>
      </c>
      <c r="N22" s="111">
        <f>+M22/L22</f>
        <v>0.56252234259896683</v>
      </c>
      <c r="P22" s="11" t="e">
        <f>+D23/$D$20*100</f>
        <v>#DIV/0!</v>
      </c>
      <c r="R22" s="11"/>
      <c r="S22" s="11"/>
    </row>
    <row r="23" spans="1:30" s="2" customFormat="1" ht="18" customHeight="1" x14ac:dyDescent="0.2">
      <c r="A23" s="116">
        <v>1514</v>
      </c>
      <c r="B23" s="76" t="s">
        <v>79</v>
      </c>
      <c r="C23" s="68"/>
      <c r="D23" s="193">
        <v>692346547.20000005</v>
      </c>
      <c r="E23" s="193">
        <v>459002790.41000003</v>
      </c>
      <c r="F23" s="74">
        <f>+D23-E23</f>
        <v>233343756.79000002</v>
      </c>
      <c r="G23" s="126">
        <f t="shared" si="10"/>
        <v>0.50837110724657653</v>
      </c>
      <c r="H23" s="46">
        <v>2701</v>
      </c>
      <c r="I23" s="76" t="s">
        <v>28</v>
      </c>
      <c r="J23" s="68"/>
      <c r="K23" s="193">
        <v>362724921</v>
      </c>
      <c r="L23" s="193">
        <v>232140630</v>
      </c>
      <c r="M23" s="74">
        <f>+K23-L23</f>
        <v>130584291</v>
      </c>
      <c r="N23" s="112">
        <f>+M23/L23</f>
        <v>0.56252234259896683</v>
      </c>
      <c r="P23" s="11"/>
      <c r="R23" s="11"/>
      <c r="S23" s="11" t="e">
        <f>+#REF!/$K$35*100</f>
        <v>#REF!</v>
      </c>
      <c r="Y23" s="12"/>
    </row>
    <row r="24" spans="1:30" s="2" customFormat="1" ht="18.75" customHeight="1" x14ac:dyDescent="0.2">
      <c r="A24" s="109">
        <v>1530</v>
      </c>
      <c r="B24" s="41" t="s">
        <v>9</v>
      </c>
      <c r="C24" s="68"/>
      <c r="D24" s="193">
        <v>2181524.0299999998</v>
      </c>
      <c r="E24" s="193">
        <v>2244871.96</v>
      </c>
      <c r="F24" s="74">
        <f t="shared" ref="F24" si="11">+D24-E24</f>
        <v>-63347.930000000168</v>
      </c>
      <c r="G24" s="126">
        <f t="shared" si="10"/>
        <v>-2.8218950180125272E-2</v>
      </c>
      <c r="H24" s="47"/>
      <c r="I24" s="48"/>
      <c r="J24" s="69"/>
      <c r="K24" s="74"/>
      <c r="L24" s="74"/>
      <c r="M24" s="74"/>
      <c r="N24" s="112"/>
      <c r="P24" s="11" t="e">
        <f>+#REF!/$D$9*100</f>
        <v>#REF!</v>
      </c>
      <c r="R24" s="11"/>
      <c r="S24" s="11"/>
      <c r="Z24" s="12"/>
    </row>
    <row r="25" spans="1:30" s="2" customFormat="1" ht="18.75" customHeight="1" x14ac:dyDescent="0.2">
      <c r="A25" s="114">
        <v>19</v>
      </c>
      <c r="B25" s="44" t="s">
        <v>11</v>
      </c>
      <c r="C25" s="43"/>
      <c r="D25" s="75">
        <f>SUM(D26:D28)</f>
        <v>602006513.04999995</v>
      </c>
      <c r="E25" s="75">
        <f>SUM(E26:E28)</f>
        <v>1480895775.9200001</v>
      </c>
      <c r="F25" s="75">
        <f>SUM(F26:F28)</f>
        <v>-878889262.87</v>
      </c>
      <c r="G25" s="125">
        <f t="shared" si="10"/>
        <v>-0.59348488743172612</v>
      </c>
      <c r="H25" s="45">
        <v>29</v>
      </c>
      <c r="I25" s="44" t="s">
        <v>10</v>
      </c>
      <c r="J25" s="43"/>
      <c r="K25" s="75">
        <f>SUM(K26:K28)</f>
        <v>25224490583.299999</v>
      </c>
      <c r="L25" s="75">
        <f t="shared" ref="L25:M25" si="12">SUM(L26:L28)</f>
        <v>13841867505.92</v>
      </c>
      <c r="M25" s="75">
        <f t="shared" si="12"/>
        <v>11382623077.379999</v>
      </c>
      <c r="N25" s="111">
        <f>+M25/L25</f>
        <v>0.82233290215440857</v>
      </c>
      <c r="R25" s="11"/>
      <c r="S25" s="11"/>
    </row>
    <row r="26" spans="1:30" s="2" customFormat="1" ht="23.25" customHeight="1" x14ac:dyDescent="0.2">
      <c r="A26" s="116">
        <v>1906</v>
      </c>
      <c r="B26" s="76" t="s">
        <v>8</v>
      </c>
      <c r="C26" s="69"/>
      <c r="D26" s="193">
        <v>556914422.64999998</v>
      </c>
      <c r="E26" s="193">
        <v>1234947889.78</v>
      </c>
      <c r="F26" s="74">
        <f>+D26-E26</f>
        <v>-678033467.13</v>
      </c>
      <c r="G26" s="126">
        <f t="shared" si="10"/>
        <v>-0.5490381195361923</v>
      </c>
      <c r="H26" s="46">
        <v>2902</v>
      </c>
      <c r="I26" s="76" t="s">
        <v>104</v>
      </c>
      <c r="J26" s="68"/>
      <c r="K26" s="193">
        <v>13131068081.07</v>
      </c>
      <c r="L26" s="193">
        <v>12362292428.09</v>
      </c>
      <c r="M26" s="74">
        <f>+K26-L26</f>
        <v>768775652.97999954</v>
      </c>
      <c r="N26" s="112">
        <f>+M26/L26</f>
        <v>6.2187143481023201E-2</v>
      </c>
      <c r="R26" s="11"/>
      <c r="S26" s="11"/>
    </row>
    <row r="27" spans="1:30" s="2" customFormat="1" ht="21.95" customHeight="1" x14ac:dyDescent="0.2">
      <c r="A27" s="116">
        <v>1907</v>
      </c>
      <c r="B27" s="76" t="s">
        <v>205</v>
      </c>
      <c r="C27" s="69"/>
      <c r="D27" s="193">
        <v>1647574</v>
      </c>
      <c r="E27" s="193">
        <v>0</v>
      </c>
      <c r="F27" s="74">
        <f>+D27-E27</f>
        <v>1647574</v>
      </c>
      <c r="G27" s="185" t="s">
        <v>6</v>
      </c>
      <c r="H27" s="41">
        <v>2910</v>
      </c>
      <c r="I27" s="76" t="s">
        <v>12</v>
      </c>
      <c r="J27" s="68"/>
      <c r="K27" s="193">
        <v>11129231996.049999</v>
      </c>
      <c r="L27" s="193">
        <v>185265880</v>
      </c>
      <c r="M27" s="74">
        <f>+K27-L27</f>
        <v>10943966116.049999</v>
      </c>
      <c r="N27" s="112">
        <f>+M27/L27</f>
        <v>59.071676425524224</v>
      </c>
      <c r="R27" s="11"/>
      <c r="S27" s="11">
        <f>+K24/$K$35*100</f>
        <v>0</v>
      </c>
    </row>
    <row r="28" spans="1:30" s="2" customFormat="1" ht="23.25" customHeight="1" x14ac:dyDescent="0.2">
      <c r="A28" s="116">
        <v>1908</v>
      </c>
      <c r="B28" s="76" t="s">
        <v>202</v>
      </c>
      <c r="C28" s="68"/>
      <c r="D28" s="193">
        <v>43444516.399999999</v>
      </c>
      <c r="E28" s="193">
        <v>245947886.13999999</v>
      </c>
      <c r="F28" s="74">
        <f>+D28-E28</f>
        <v>-202503369.73999998</v>
      </c>
      <c r="G28" s="126">
        <f t="shared" si="10"/>
        <v>-0.82335885426040922</v>
      </c>
      <c r="H28" s="41" t="s">
        <v>155</v>
      </c>
      <c r="I28" s="76" t="s">
        <v>156</v>
      </c>
      <c r="J28" s="68"/>
      <c r="K28" s="193">
        <v>964190506.17999995</v>
      </c>
      <c r="L28" s="193">
        <v>1294309197.8299999</v>
      </c>
      <c r="M28" s="74">
        <f>+K28-L28</f>
        <v>-330118691.64999998</v>
      </c>
      <c r="N28" s="112">
        <f>+M28/L28</f>
        <v>-0.25505396407865066</v>
      </c>
      <c r="R28" s="11"/>
      <c r="S28" s="11"/>
    </row>
    <row r="29" spans="1:30" s="2" customFormat="1" ht="21.75" customHeight="1" x14ac:dyDescent="0.2">
      <c r="A29" s="109"/>
      <c r="B29" s="40" t="s">
        <v>80</v>
      </c>
      <c r="C29" s="43"/>
      <c r="D29" s="127">
        <f>D30+D33+D48+D50</f>
        <v>340165428570.19995</v>
      </c>
      <c r="E29" s="127">
        <f>E30+E33+E48+E50</f>
        <v>333351771744.19995</v>
      </c>
      <c r="F29" s="127">
        <f>F30+F33+F48+F50</f>
        <v>6813656826</v>
      </c>
      <c r="G29" s="128">
        <f>+F29/E29</f>
        <v>2.0439839843504753E-2</v>
      </c>
      <c r="H29" s="41"/>
      <c r="I29" s="40"/>
      <c r="J29" s="43"/>
      <c r="K29" s="75"/>
      <c r="L29" s="75"/>
      <c r="M29" s="75"/>
      <c r="N29" s="111"/>
      <c r="P29" s="11"/>
      <c r="R29" s="11"/>
      <c r="S29" s="11"/>
    </row>
    <row r="30" spans="1:30" s="2" customFormat="1" ht="21" customHeight="1" x14ac:dyDescent="0.2">
      <c r="A30" s="114">
        <v>13</v>
      </c>
      <c r="B30" s="44" t="s">
        <v>73</v>
      </c>
      <c r="C30" s="43"/>
      <c r="D30" s="75">
        <f>SUM(D31:D32)</f>
        <v>301423.73999999464</v>
      </c>
      <c r="E30" s="75">
        <f>SUM(E31:E32)</f>
        <v>311289.73999999464</v>
      </c>
      <c r="F30" s="75">
        <f>SUM(F31:F32)</f>
        <v>-9866</v>
      </c>
      <c r="G30" s="125">
        <f>+F30/E30</f>
        <v>-3.1693945325664025E-2</v>
      </c>
      <c r="H30" s="41"/>
      <c r="I30" s="40"/>
      <c r="J30" s="43"/>
      <c r="K30" s="75"/>
      <c r="L30" s="75"/>
      <c r="M30" s="75"/>
      <c r="N30" s="111"/>
      <c r="P30" s="11" t="e">
        <f>+#REF!/$D$9*100</f>
        <v>#REF!</v>
      </c>
      <c r="R30" s="11"/>
      <c r="S30" s="11"/>
    </row>
    <row r="31" spans="1:30" s="2" customFormat="1" ht="22.5" x14ac:dyDescent="0.2">
      <c r="A31" s="116">
        <v>1385</v>
      </c>
      <c r="B31" s="76" t="s">
        <v>158</v>
      </c>
      <c r="C31" s="68"/>
      <c r="D31" s="193">
        <v>100426376</v>
      </c>
      <c r="E31" s="193">
        <v>100426376</v>
      </c>
      <c r="F31" s="74">
        <f t="shared" ref="F31:F32" si="13">+D31-E31</f>
        <v>0</v>
      </c>
      <c r="G31" s="126">
        <f t="shared" ref="G31:G32" si="14">+F31/E31</f>
        <v>0</v>
      </c>
      <c r="H31" s="46"/>
      <c r="I31" s="76"/>
      <c r="J31" s="68"/>
      <c r="K31" s="74"/>
      <c r="L31" s="74"/>
      <c r="M31" s="74"/>
      <c r="N31" s="112"/>
      <c r="P31" s="11"/>
      <c r="S31" s="11"/>
    </row>
    <row r="32" spans="1:30" s="2" customFormat="1" ht="22.5" x14ac:dyDescent="0.2">
      <c r="A32" s="116">
        <v>1386</v>
      </c>
      <c r="B32" s="76" t="s">
        <v>76</v>
      </c>
      <c r="C32" s="68"/>
      <c r="D32" s="193">
        <v>-100124952.26000001</v>
      </c>
      <c r="E32" s="193">
        <v>-100115086.26000001</v>
      </c>
      <c r="F32" s="74">
        <f t="shared" si="13"/>
        <v>-9866</v>
      </c>
      <c r="G32" s="126">
        <f t="shared" si="14"/>
        <v>9.8546586419332312E-5</v>
      </c>
      <c r="H32" s="41"/>
      <c r="I32" s="40" t="s">
        <v>105</v>
      </c>
      <c r="J32" s="130"/>
      <c r="K32" s="127">
        <f>+K34+K37</f>
        <v>309141778.24000001</v>
      </c>
      <c r="L32" s="127">
        <f t="shared" ref="L32:M32" si="15">+L34+L37</f>
        <v>644310570</v>
      </c>
      <c r="M32" s="127">
        <f t="shared" si="15"/>
        <v>-335168791.75999999</v>
      </c>
      <c r="N32" s="129">
        <f>+M32/L32</f>
        <v>-0.52019756832485298</v>
      </c>
      <c r="R32" s="11"/>
    </row>
    <row r="33" spans="1:26" s="2" customFormat="1" ht="21.75" customHeight="1" x14ac:dyDescent="0.2">
      <c r="A33" s="114">
        <v>16</v>
      </c>
      <c r="B33" s="45" t="s">
        <v>81</v>
      </c>
      <c r="C33" s="43"/>
      <c r="D33" s="75">
        <f>SUM(D34:D47)</f>
        <v>338439046483.33997</v>
      </c>
      <c r="E33" s="75">
        <f t="shared" ref="E33:F33" si="16">SUM(E34:E47)</f>
        <v>331531051609.43994</v>
      </c>
      <c r="F33" s="75">
        <f t="shared" si="16"/>
        <v>6907994873.8999996</v>
      </c>
      <c r="G33" s="125">
        <f>+F33/E33</f>
        <v>2.0836645135846765E-2</v>
      </c>
      <c r="H33" s="46"/>
      <c r="I33" s="76"/>
      <c r="J33" s="68"/>
      <c r="K33" s="74"/>
      <c r="L33" s="74"/>
      <c r="M33" s="74"/>
      <c r="N33" s="112"/>
      <c r="P33" s="11"/>
      <c r="S33" s="11"/>
    </row>
    <row r="34" spans="1:26" s="2" customFormat="1" ht="24" customHeight="1" x14ac:dyDescent="0.2">
      <c r="A34" s="116">
        <v>1605</v>
      </c>
      <c r="B34" s="41" t="s">
        <v>14</v>
      </c>
      <c r="C34" s="68"/>
      <c r="D34" s="193">
        <v>272742479086.28</v>
      </c>
      <c r="E34" s="74">
        <v>268587060279.28</v>
      </c>
      <c r="F34" s="74">
        <f t="shared" ref="F34:F46" si="17">+D34-E34</f>
        <v>4155418807</v>
      </c>
      <c r="G34" s="126">
        <f t="shared" ref="G34:G44" si="18">+F34/E34</f>
        <v>1.5471403583922273E-2</v>
      </c>
      <c r="H34" s="45">
        <v>25</v>
      </c>
      <c r="I34" s="90" t="s">
        <v>101</v>
      </c>
      <c r="J34" s="43"/>
      <c r="K34" s="75">
        <f>SUM(K35:K36)</f>
        <v>309141778.24000001</v>
      </c>
      <c r="L34" s="75">
        <f>SUM(L35:L36)</f>
        <v>582016674</v>
      </c>
      <c r="M34" s="75">
        <f>SUM(M35:M36)</f>
        <v>-272874895.75999999</v>
      </c>
      <c r="N34" s="111">
        <f>+M34/L34</f>
        <v>-0.46884377707708075</v>
      </c>
      <c r="R34" s="11" t="e">
        <f>+#REF!/$K$35*100</f>
        <v>#REF!</v>
      </c>
      <c r="S34" s="11"/>
    </row>
    <row r="35" spans="1:26" s="2" customFormat="1" ht="23.25" customHeight="1" x14ac:dyDescent="0.2">
      <c r="A35" s="116">
        <v>1615</v>
      </c>
      <c r="B35" s="76" t="s">
        <v>82</v>
      </c>
      <c r="C35" s="155"/>
      <c r="D35" s="193">
        <v>0</v>
      </c>
      <c r="E35" s="74">
        <v>249733128.78</v>
      </c>
      <c r="F35" s="74">
        <f t="shared" si="17"/>
        <v>-249733128.78</v>
      </c>
      <c r="G35" s="126">
        <f t="shared" si="18"/>
        <v>-1</v>
      </c>
      <c r="H35" s="46">
        <v>2512</v>
      </c>
      <c r="I35" s="76" t="s">
        <v>106</v>
      </c>
      <c r="J35" s="68"/>
      <c r="K35" s="193">
        <v>309141778.24000001</v>
      </c>
      <c r="L35" s="193">
        <v>582016674</v>
      </c>
      <c r="M35" s="74">
        <f>+K35-L35</f>
        <v>-272874895.75999999</v>
      </c>
      <c r="N35" s="112">
        <f>+M35/L35</f>
        <v>-0.46884377707708075</v>
      </c>
      <c r="R35" s="11"/>
      <c r="S35" s="11"/>
    </row>
    <row r="36" spans="1:26" s="2" customFormat="1" ht="16.5" customHeight="1" x14ac:dyDescent="0.2">
      <c r="A36" s="116">
        <v>1635</v>
      </c>
      <c r="B36" s="76" t="s">
        <v>16</v>
      </c>
      <c r="C36" s="155"/>
      <c r="D36" s="193">
        <v>60707434.759999998</v>
      </c>
      <c r="E36" s="193">
        <v>59667465</v>
      </c>
      <c r="F36" s="74">
        <f t="shared" si="17"/>
        <v>1039969.7599999979</v>
      </c>
      <c r="G36" s="126">
        <f t="shared" si="18"/>
        <v>1.7429427578329295E-2</v>
      </c>
      <c r="H36" s="149"/>
      <c r="I36" s="76"/>
      <c r="J36" s="68"/>
      <c r="K36" s="74"/>
      <c r="L36" s="74"/>
      <c r="M36" s="74"/>
      <c r="N36" s="112"/>
      <c r="R36" s="11"/>
      <c r="S36" s="11"/>
    </row>
    <row r="37" spans="1:26" s="2" customFormat="1" ht="22.5" x14ac:dyDescent="0.2">
      <c r="A37" s="116">
        <v>1637</v>
      </c>
      <c r="B37" s="76" t="s">
        <v>83</v>
      </c>
      <c r="C37" s="155"/>
      <c r="D37" s="193">
        <v>181541285.34999999</v>
      </c>
      <c r="E37" s="193">
        <v>414636897.94999999</v>
      </c>
      <c r="F37" s="74">
        <f t="shared" si="17"/>
        <v>-233095612.59999999</v>
      </c>
      <c r="G37" s="126">
        <f t="shared" si="18"/>
        <v>-0.56216804088696515</v>
      </c>
      <c r="H37" s="45">
        <v>27</v>
      </c>
      <c r="I37" s="44" t="s">
        <v>103</v>
      </c>
      <c r="J37" s="43"/>
      <c r="K37" s="75">
        <f>+K38</f>
        <v>0</v>
      </c>
      <c r="L37" s="75">
        <f>+L38</f>
        <v>62293896</v>
      </c>
      <c r="M37" s="75">
        <f>SUM(M38:M39)</f>
        <v>-62293896</v>
      </c>
      <c r="N37" s="111">
        <f>+M37/L37</f>
        <v>-1</v>
      </c>
      <c r="P37" s="39" t="e">
        <f>+#REF!/#REF!*100</f>
        <v>#REF!</v>
      </c>
      <c r="R37" s="11"/>
      <c r="S37" s="11"/>
      <c r="Z37" s="12"/>
    </row>
    <row r="38" spans="1:26" s="2" customFormat="1" ht="18" customHeight="1" x14ac:dyDescent="0.2">
      <c r="A38" s="116">
        <v>1640</v>
      </c>
      <c r="B38" s="76" t="s">
        <v>17</v>
      </c>
      <c r="C38" s="68"/>
      <c r="D38" s="193">
        <v>62832290873.839996</v>
      </c>
      <c r="E38" s="193">
        <v>59024909680.839996</v>
      </c>
      <c r="F38" s="74">
        <f t="shared" si="17"/>
        <v>3807381193</v>
      </c>
      <c r="G38" s="126">
        <f t="shared" si="18"/>
        <v>6.4504650893788817E-2</v>
      </c>
      <c r="H38" s="46">
        <v>2701</v>
      </c>
      <c r="I38" s="76" t="s">
        <v>28</v>
      </c>
      <c r="J38" s="68"/>
      <c r="K38" s="74">
        <v>0</v>
      </c>
      <c r="L38" s="74">
        <v>62293896</v>
      </c>
      <c r="M38" s="74">
        <f>+K38-L38</f>
        <v>-62293896</v>
      </c>
      <c r="N38" s="112">
        <f>+M38/L38</f>
        <v>-1</v>
      </c>
      <c r="R38" s="11"/>
    </row>
    <row r="39" spans="1:26" s="2" customFormat="1" ht="17.25" customHeight="1" x14ac:dyDescent="0.2">
      <c r="A39" s="116">
        <v>1655</v>
      </c>
      <c r="B39" s="76" t="s">
        <v>19</v>
      </c>
      <c r="C39" s="155"/>
      <c r="D39" s="193">
        <v>2108004190.1199999</v>
      </c>
      <c r="E39" s="193">
        <v>2112810243.3</v>
      </c>
      <c r="F39" s="74">
        <f t="shared" si="17"/>
        <v>-4806053.1800000668</v>
      </c>
      <c r="G39" s="126">
        <f t="shared" si="18"/>
        <v>-2.2747206926134024E-3</v>
      </c>
      <c r="H39" s="41"/>
      <c r="I39" s="41"/>
      <c r="J39" s="68"/>
      <c r="K39" s="74"/>
      <c r="L39" s="74"/>
      <c r="M39" s="74"/>
      <c r="N39" s="112"/>
      <c r="P39" s="39">
        <f>+D33/D55*100</f>
        <v>52.926756679244669</v>
      </c>
      <c r="R39" s="11"/>
      <c r="S39" s="11"/>
    </row>
    <row r="40" spans="1:26" s="2" customFormat="1" ht="19.5" customHeight="1" x14ac:dyDescent="0.2">
      <c r="A40" s="116">
        <v>1660</v>
      </c>
      <c r="B40" s="76" t="s">
        <v>84</v>
      </c>
      <c r="C40" s="155"/>
      <c r="D40" s="193">
        <v>2509846561.46</v>
      </c>
      <c r="E40" s="193">
        <v>2492226612.46</v>
      </c>
      <c r="F40" s="74">
        <f t="shared" si="17"/>
        <v>17619949</v>
      </c>
      <c r="G40" s="126">
        <f t="shared" si="18"/>
        <v>7.06996262374708E-3</v>
      </c>
      <c r="H40" s="41"/>
      <c r="I40" s="40" t="s">
        <v>13</v>
      </c>
      <c r="J40" s="43"/>
      <c r="K40" s="127">
        <f>+K9+K32</f>
        <v>50887299094.359993</v>
      </c>
      <c r="L40" s="127">
        <f>+L9+L32</f>
        <v>37340055689.089996</v>
      </c>
      <c r="M40" s="127">
        <f>+M9+M32</f>
        <v>13547243405.27</v>
      </c>
      <c r="N40" s="129">
        <f>+M40/L40</f>
        <v>0.36280726301188215</v>
      </c>
      <c r="P40" s="11">
        <f>+D34/$D$33*100</f>
        <v>80.588360569000145</v>
      </c>
      <c r="R40" s="11"/>
      <c r="S40" s="11"/>
    </row>
    <row r="41" spans="1:26" s="2" customFormat="1" ht="24" customHeight="1" x14ac:dyDescent="0.2">
      <c r="A41" s="116">
        <v>1665</v>
      </c>
      <c r="B41" s="76" t="s">
        <v>85</v>
      </c>
      <c r="C41" s="155"/>
      <c r="D41" s="193">
        <v>1881651598.3599999</v>
      </c>
      <c r="E41" s="193">
        <v>2176660001</v>
      </c>
      <c r="F41" s="74">
        <f t="shared" si="17"/>
        <v>-295008402.6400001</v>
      </c>
      <c r="G41" s="126">
        <f t="shared" si="18"/>
        <v>-0.13553260615092275</v>
      </c>
      <c r="H41" s="41"/>
      <c r="I41" s="40"/>
      <c r="J41" s="43"/>
      <c r="K41" s="180"/>
      <c r="L41" s="180"/>
      <c r="M41" s="180"/>
      <c r="N41" s="181"/>
      <c r="P41" s="11"/>
      <c r="R41" s="11"/>
      <c r="S41" s="11"/>
    </row>
    <row r="42" spans="1:26" s="2" customFormat="1" ht="21.95" customHeight="1" x14ac:dyDescent="0.2">
      <c r="A42" s="116">
        <v>1670</v>
      </c>
      <c r="B42" s="76" t="s">
        <v>86</v>
      </c>
      <c r="C42" s="155"/>
      <c r="D42" s="193">
        <v>13003394570.43</v>
      </c>
      <c r="E42" s="193">
        <v>12830983922.91</v>
      </c>
      <c r="F42" s="74">
        <f t="shared" si="17"/>
        <v>172410647.52000046</v>
      </c>
      <c r="G42" s="126">
        <f t="shared" si="18"/>
        <v>1.3437055845121707E-2</v>
      </c>
      <c r="H42" s="41"/>
      <c r="I42" s="40"/>
      <c r="J42" s="43"/>
      <c r="K42" s="75"/>
      <c r="L42" s="75"/>
      <c r="M42" s="75"/>
      <c r="N42" s="111"/>
      <c r="P42" s="28">
        <f>+D35/$D$33*100</f>
        <v>0</v>
      </c>
      <c r="Q42" s="11">
        <f>+D33/D55*100</f>
        <v>52.926756679244669</v>
      </c>
      <c r="R42" s="11"/>
      <c r="S42" s="11"/>
    </row>
    <row r="43" spans="1:26" s="2" customFormat="1" ht="22.5" customHeight="1" x14ac:dyDescent="0.2">
      <c r="A43" s="116">
        <v>1675</v>
      </c>
      <c r="B43" s="76" t="s">
        <v>87</v>
      </c>
      <c r="C43" s="155"/>
      <c r="D43" s="193">
        <v>1929741121</v>
      </c>
      <c r="E43" s="193">
        <v>1929741121</v>
      </c>
      <c r="F43" s="74">
        <f t="shared" si="17"/>
        <v>0</v>
      </c>
      <c r="G43" s="126">
        <f t="shared" si="18"/>
        <v>0</v>
      </c>
      <c r="H43" s="47"/>
      <c r="I43" s="41"/>
      <c r="J43" s="68"/>
      <c r="K43" s="182"/>
      <c r="L43" s="182"/>
      <c r="M43" s="182"/>
      <c r="N43" s="183"/>
      <c r="R43" s="11"/>
      <c r="S43" s="11"/>
    </row>
    <row r="44" spans="1:26" s="2" customFormat="1" ht="22.5" x14ac:dyDescent="0.2">
      <c r="A44" s="116">
        <v>1680</v>
      </c>
      <c r="B44" s="76" t="s">
        <v>88</v>
      </c>
      <c r="C44" s="155"/>
      <c r="D44" s="193">
        <v>652801212.42999995</v>
      </c>
      <c r="E44" s="193">
        <v>670764729.19000006</v>
      </c>
      <c r="F44" s="74">
        <f t="shared" si="17"/>
        <v>-17963516.76000011</v>
      </c>
      <c r="G44" s="126">
        <f t="shared" si="18"/>
        <v>-2.6780651960773841E-2</v>
      </c>
      <c r="H44" s="41"/>
      <c r="I44" s="186" t="s">
        <v>15</v>
      </c>
      <c r="J44" s="43"/>
      <c r="K44" s="127">
        <f>+K48</f>
        <v>598452808566.28992</v>
      </c>
      <c r="L44" s="127">
        <f>+L48</f>
        <v>586104443766.78992</v>
      </c>
      <c r="M44" s="127">
        <f>+M48</f>
        <v>12348364799.500008</v>
      </c>
      <c r="N44" s="129">
        <f>+M44/L44</f>
        <v>2.1068539798366388E-2</v>
      </c>
      <c r="P44" s="11"/>
      <c r="R44" s="11"/>
      <c r="S44" s="11"/>
    </row>
    <row r="45" spans="1:26" s="2" customFormat="1" ht="17.25" customHeight="1" x14ac:dyDescent="0.2">
      <c r="A45" s="116">
        <v>1681</v>
      </c>
      <c r="B45" s="76" t="s">
        <v>23</v>
      </c>
      <c r="C45" s="155"/>
      <c r="D45" s="193">
        <v>287820469</v>
      </c>
      <c r="E45" s="193">
        <v>1714231433.1099999</v>
      </c>
      <c r="F45" s="74">
        <f t="shared" si="17"/>
        <v>-1426410964.1099999</v>
      </c>
      <c r="G45" s="126">
        <f>+F45/E45</f>
        <v>-0.8320994100091671</v>
      </c>
      <c r="H45" s="47"/>
      <c r="I45" s="41"/>
      <c r="J45" s="68"/>
      <c r="K45" s="75"/>
      <c r="L45" s="75"/>
      <c r="M45" s="75"/>
      <c r="N45" s="117"/>
      <c r="P45" s="11"/>
      <c r="R45" s="11"/>
      <c r="S45" s="11"/>
    </row>
    <row r="46" spans="1:26" s="2" customFormat="1" ht="22.5" x14ac:dyDescent="0.2">
      <c r="A46" s="109">
        <v>1685</v>
      </c>
      <c r="B46" s="76" t="s">
        <v>89</v>
      </c>
      <c r="C46" s="68"/>
      <c r="D46" s="193">
        <v>-19751231919.689999</v>
      </c>
      <c r="E46" s="193">
        <v>-20482640776.599998</v>
      </c>
      <c r="F46" s="74">
        <f t="shared" si="17"/>
        <v>731408856.90999985</v>
      </c>
      <c r="G46" s="126">
        <f>+F46/E46</f>
        <v>-3.5708718660221975E-2</v>
      </c>
      <c r="H46" s="47"/>
      <c r="I46" s="41"/>
      <c r="J46" s="68"/>
      <c r="K46" s="75"/>
      <c r="L46" s="75"/>
      <c r="M46" s="75"/>
      <c r="N46" s="117"/>
      <c r="P46" s="11">
        <f>+D37/$D$33*100</f>
        <v>5.3640762564592721E-2</v>
      </c>
      <c r="R46" s="11" t="e">
        <f>+K41/$K$38*100</f>
        <v>#DIV/0!</v>
      </c>
      <c r="S46" s="11"/>
    </row>
    <row r="47" spans="1:26" s="2" customFormat="1" ht="22.5" x14ac:dyDescent="0.2">
      <c r="A47" s="109">
        <v>1695</v>
      </c>
      <c r="B47" s="76" t="s">
        <v>192</v>
      </c>
      <c r="C47" s="68"/>
      <c r="D47" s="193">
        <v>0</v>
      </c>
      <c r="E47" s="193">
        <v>-249733128.78</v>
      </c>
      <c r="F47" s="74">
        <f t="shared" ref="F47" si="19">+D47-E47</f>
        <v>249733128.78</v>
      </c>
      <c r="G47" s="126">
        <f>+F47/E47</f>
        <v>-1</v>
      </c>
      <c r="H47" s="47"/>
      <c r="I47" s="41"/>
      <c r="J47" s="68"/>
      <c r="K47" s="75"/>
      <c r="L47" s="75"/>
      <c r="M47" s="75"/>
      <c r="N47" s="117"/>
      <c r="P47" s="11"/>
      <c r="R47" s="11"/>
      <c r="S47" s="11"/>
    </row>
    <row r="48" spans="1:26" s="2" customFormat="1" ht="35.25" customHeight="1" x14ac:dyDescent="0.2">
      <c r="A48" s="114">
        <v>17</v>
      </c>
      <c r="B48" s="140" t="s">
        <v>21</v>
      </c>
      <c r="C48" s="43"/>
      <c r="D48" s="75">
        <f>+D49</f>
        <v>46206747.32</v>
      </c>
      <c r="E48" s="75">
        <f t="shared" ref="E48:F48" si="20">+E49</f>
        <v>46206747.32</v>
      </c>
      <c r="F48" s="75">
        <f t="shared" si="20"/>
        <v>0</v>
      </c>
      <c r="G48" s="125">
        <f>+F48/E48</f>
        <v>0</v>
      </c>
      <c r="H48" s="45">
        <v>31</v>
      </c>
      <c r="I48" s="140" t="s">
        <v>116</v>
      </c>
      <c r="J48" s="43"/>
      <c r="K48" s="75">
        <f>SUM(K49:K52)</f>
        <v>598452808566.28992</v>
      </c>
      <c r="L48" s="75">
        <f>SUM(L49:L52)</f>
        <v>586104443766.78992</v>
      </c>
      <c r="M48" s="75">
        <f>SUM(M49:M52)</f>
        <v>12348364799.500008</v>
      </c>
      <c r="N48" s="111">
        <f t="shared" ref="N48:N50" si="21">+M48/L48</f>
        <v>2.1068539798366388E-2</v>
      </c>
      <c r="P48" s="28">
        <f>+D38/$D$33*100</f>
        <v>18.565319671804765</v>
      </c>
      <c r="R48" s="11" t="e">
        <f>+K44/$K$38*100</f>
        <v>#DIV/0!</v>
      </c>
      <c r="S48" s="11"/>
    </row>
    <row r="49" spans="1:26" s="2" customFormat="1" ht="21.95" customHeight="1" x14ac:dyDescent="0.2">
      <c r="A49" s="116">
        <v>1715</v>
      </c>
      <c r="B49" s="48" t="s">
        <v>22</v>
      </c>
      <c r="C49" s="69"/>
      <c r="D49" s="74">
        <v>46206747.32</v>
      </c>
      <c r="E49" s="74">
        <v>46206747.32</v>
      </c>
      <c r="F49" s="74">
        <f>+D49-E49</f>
        <v>0</v>
      </c>
      <c r="G49" s="126">
        <f>+F49/E49</f>
        <v>0</v>
      </c>
      <c r="H49" s="46">
        <v>3105</v>
      </c>
      <c r="I49" s="76" t="s">
        <v>18</v>
      </c>
      <c r="J49" s="68"/>
      <c r="K49" s="74">
        <v>44239962579.480003</v>
      </c>
      <c r="L49" s="193">
        <v>44239962579.480003</v>
      </c>
      <c r="M49" s="74">
        <f>+K49-L49</f>
        <v>0</v>
      </c>
      <c r="N49" s="112">
        <f>+M49/L49</f>
        <v>0</v>
      </c>
      <c r="P49" s="11">
        <f>+D40/$D$33*100</f>
        <v>0.74159485660397939</v>
      </c>
      <c r="R49" s="11" t="e">
        <f>+K45/$K$38*100</f>
        <v>#DIV/0!</v>
      </c>
      <c r="S49" s="11"/>
    </row>
    <row r="50" spans="1:26" s="2" customFormat="1" ht="24" customHeight="1" x14ac:dyDescent="0.2">
      <c r="A50" s="114">
        <v>19</v>
      </c>
      <c r="B50" s="44" t="s">
        <v>11</v>
      </c>
      <c r="C50" s="43"/>
      <c r="D50" s="75">
        <f>SUM(D51:D54)</f>
        <v>1679873915.8</v>
      </c>
      <c r="E50" s="75">
        <f>SUM(E51:E54)</f>
        <v>1774202097.7</v>
      </c>
      <c r="F50" s="75">
        <f>SUM(F51:F54)</f>
        <v>-94328181.900000095</v>
      </c>
      <c r="G50" s="125">
        <f t="shared" ref="G50" si="22">+F50/E50</f>
        <v>-5.3166537240759169E-2</v>
      </c>
      <c r="H50" s="46">
        <v>3109</v>
      </c>
      <c r="I50" s="76" t="s">
        <v>117</v>
      </c>
      <c r="J50" s="68"/>
      <c r="K50" s="193">
        <v>510557058298.75</v>
      </c>
      <c r="L50" s="193">
        <v>509801659885.22998</v>
      </c>
      <c r="M50" s="74">
        <f>+K50-L50</f>
        <v>755398413.52001953</v>
      </c>
      <c r="N50" s="112">
        <f t="shared" si="21"/>
        <v>1.4817496155074897E-3</v>
      </c>
      <c r="P50" s="11">
        <f>+D41/$D$33*100</f>
        <v>0.5559794645186209</v>
      </c>
      <c r="R50" s="11" t="e">
        <f>+#REF!/$K$38*100</f>
        <v>#REF!</v>
      </c>
      <c r="S50" s="11"/>
    </row>
    <row r="51" spans="1:26" s="2" customFormat="1" ht="24" customHeight="1" x14ac:dyDescent="0.2">
      <c r="A51" s="116">
        <v>1905</v>
      </c>
      <c r="B51" s="76" t="s">
        <v>193</v>
      </c>
      <c r="C51" s="68"/>
      <c r="D51" s="193">
        <v>110208166.59999999</v>
      </c>
      <c r="E51" s="193">
        <v>110208166.59999999</v>
      </c>
      <c r="F51" s="74">
        <f>+D51-E51</f>
        <v>0</v>
      </c>
      <c r="G51" s="126">
        <f>+F51/E51</f>
        <v>0</v>
      </c>
      <c r="H51" s="46">
        <v>3110</v>
      </c>
      <c r="I51" s="76" t="s">
        <v>20</v>
      </c>
      <c r="J51" s="68"/>
      <c r="K51" s="74">
        <f>+'EST RESUL DICIEMBRE 2025-2024'!D78</f>
        <v>43655787688.059982</v>
      </c>
      <c r="L51" s="74">
        <v>32062821302.079994</v>
      </c>
      <c r="M51" s="74">
        <f>+K51-L51</f>
        <v>11592966385.979988</v>
      </c>
      <c r="N51" s="112">
        <f>+M51/L51</f>
        <v>0.36157037700322159</v>
      </c>
      <c r="P51" s="11"/>
      <c r="R51" s="11"/>
      <c r="S51" s="11"/>
    </row>
    <row r="52" spans="1:26" s="2" customFormat="1" ht="21.75" customHeight="1" x14ac:dyDescent="0.2">
      <c r="A52" s="116">
        <v>1909</v>
      </c>
      <c r="B52" s="76" t="s">
        <v>90</v>
      </c>
      <c r="C52" s="68"/>
      <c r="D52" s="193">
        <v>1263704</v>
      </c>
      <c r="E52" s="193">
        <v>1263704</v>
      </c>
      <c r="F52" s="74">
        <f>+D52-E52</f>
        <v>0</v>
      </c>
      <c r="G52" s="126">
        <f>+F52/E52</f>
        <v>0</v>
      </c>
      <c r="H52" s="46"/>
      <c r="I52" s="76"/>
      <c r="J52" s="68"/>
      <c r="K52" s="74"/>
      <c r="L52" s="74"/>
      <c r="M52" s="74"/>
      <c r="N52" s="112"/>
      <c r="P52" s="11">
        <f>+D43/$D$33*100</f>
        <v>0.57018867682426044</v>
      </c>
      <c r="R52" s="11"/>
      <c r="S52" s="11"/>
      <c r="Y52" s="12"/>
    </row>
    <row r="53" spans="1:26" s="2" customFormat="1" ht="17.25" customHeight="1" x14ac:dyDescent="0.2">
      <c r="A53" s="116">
        <v>1970</v>
      </c>
      <c r="B53" s="76" t="s">
        <v>91</v>
      </c>
      <c r="C53" s="68"/>
      <c r="D53" s="193">
        <v>3028983845.6700001</v>
      </c>
      <c r="E53" s="193">
        <v>3028983845.6700001</v>
      </c>
      <c r="F53" s="74">
        <f>+D53-E53</f>
        <v>0</v>
      </c>
      <c r="G53" s="126">
        <f t="shared" ref="G53:G54" si="23">+F53/E53</f>
        <v>0</v>
      </c>
      <c r="H53" s="41"/>
      <c r="I53" s="41"/>
      <c r="J53" s="68"/>
      <c r="K53" s="74"/>
      <c r="L53" s="74"/>
      <c r="M53" s="74"/>
      <c r="N53" s="117"/>
      <c r="P53" s="11">
        <f>+D44/$D$33*100</f>
        <v>0.19288590344794476</v>
      </c>
      <c r="R53" s="11"/>
      <c r="S53" s="11"/>
      <c r="Y53" s="12"/>
      <c r="Z53" s="12"/>
    </row>
    <row r="54" spans="1:26" s="2" customFormat="1" ht="25.5" customHeight="1" x14ac:dyDescent="0.2">
      <c r="A54" s="109">
        <v>1975</v>
      </c>
      <c r="B54" s="76" t="s">
        <v>92</v>
      </c>
      <c r="C54" s="68"/>
      <c r="D54" s="193">
        <v>-1460581800.47</v>
      </c>
      <c r="E54" s="193">
        <v>-1366253618.5699999</v>
      </c>
      <c r="F54" s="74">
        <f>+D54-E54</f>
        <v>-94328181.900000095</v>
      </c>
      <c r="G54" s="126">
        <f t="shared" si="23"/>
        <v>6.9041487332878529E-2</v>
      </c>
      <c r="H54" s="41"/>
      <c r="I54" s="41"/>
      <c r="J54" s="68"/>
      <c r="K54" s="74"/>
      <c r="L54" s="74"/>
      <c r="M54" s="74"/>
      <c r="N54" s="117"/>
      <c r="R54" s="11"/>
      <c r="S54" s="11"/>
      <c r="Y54" s="12">
        <f>+D55-K55</f>
        <v>-9892184308</v>
      </c>
      <c r="Z54" s="12">
        <f>+E55-L55</f>
        <v>0</v>
      </c>
    </row>
    <row r="55" spans="1:26" s="2" customFormat="1" ht="21.75" customHeight="1" thickBot="1" x14ac:dyDescent="0.25">
      <c r="A55" s="133"/>
      <c r="B55" s="134" t="s">
        <v>24</v>
      </c>
      <c r="C55" s="135"/>
      <c r="D55" s="136">
        <f>+D9+D29</f>
        <v>639447923352.6499</v>
      </c>
      <c r="E55" s="136">
        <f>+E9+E29</f>
        <v>623444499455.87988</v>
      </c>
      <c r="F55" s="136">
        <f>+F9+F29</f>
        <v>16003423896.769974</v>
      </c>
      <c r="G55" s="137">
        <f>+F55/E55</f>
        <v>2.5669364170727613E-2</v>
      </c>
      <c r="H55" s="138"/>
      <c r="I55" s="134" t="s">
        <v>25</v>
      </c>
      <c r="J55" s="135"/>
      <c r="K55" s="136">
        <f>+K40+K44</f>
        <v>649340107660.6499</v>
      </c>
      <c r="L55" s="136">
        <f>+L40+L44</f>
        <v>623444499455.87988</v>
      </c>
      <c r="M55" s="136">
        <f>+M40+M44</f>
        <v>25895608204.770008</v>
      </c>
      <c r="N55" s="139">
        <f>+M55/L55</f>
        <v>4.153634882875825E-2</v>
      </c>
      <c r="Q55" s="11" t="e">
        <f>+#REF!/D55*100</f>
        <v>#REF!</v>
      </c>
      <c r="R55" s="11"/>
      <c r="S55" s="11"/>
    </row>
    <row r="56" spans="1:26" s="2" customFormat="1" ht="24.75" customHeight="1" x14ac:dyDescent="0.2">
      <c r="A56" s="144">
        <v>8</v>
      </c>
      <c r="B56" s="141" t="s">
        <v>26</v>
      </c>
      <c r="C56" s="142"/>
      <c r="D56" s="143">
        <f>+D57+D63+D60</f>
        <v>0</v>
      </c>
      <c r="E56" s="143">
        <f>+E57+E63+E60</f>
        <v>0</v>
      </c>
      <c r="F56" s="143">
        <f>+F57+F63+F60</f>
        <v>0</v>
      </c>
      <c r="G56" s="167">
        <v>0</v>
      </c>
      <c r="H56" s="168">
        <v>9</v>
      </c>
      <c r="I56" s="156" t="s">
        <v>27</v>
      </c>
      <c r="J56" s="142"/>
      <c r="K56" s="143">
        <f>+K57+K61+K63</f>
        <v>0</v>
      </c>
      <c r="L56" s="143">
        <f>+L57+L61+L63</f>
        <v>0</v>
      </c>
      <c r="M56" s="143">
        <f>+M57+M61+M63</f>
        <v>0</v>
      </c>
      <c r="N56" s="145">
        <v>0</v>
      </c>
      <c r="R56" s="11"/>
      <c r="S56" s="11"/>
    </row>
    <row r="57" spans="1:26" s="2" customFormat="1" ht="21.75" customHeight="1" x14ac:dyDescent="0.2">
      <c r="A57" s="114">
        <v>81</v>
      </c>
      <c r="B57" s="40" t="s">
        <v>107</v>
      </c>
      <c r="C57" s="43"/>
      <c r="D57" s="75">
        <f>SUM(D58:D59)</f>
        <v>773961803.60000002</v>
      </c>
      <c r="E57" s="75">
        <f t="shared" ref="E57:F57" si="24">SUM(E58:E59)</f>
        <v>431115490.60000002</v>
      </c>
      <c r="F57" s="75">
        <f t="shared" si="24"/>
        <v>342846313</v>
      </c>
      <c r="G57" s="166">
        <f>+F57/E57</f>
        <v>0.79525398756339649</v>
      </c>
      <c r="H57" s="169">
        <v>91</v>
      </c>
      <c r="I57" s="44" t="s">
        <v>111</v>
      </c>
      <c r="J57" s="43"/>
      <c r="K57" s="75">
        <f>SUM(K58:K60)</f>
        <v>5546377637.6700001</v>
      </c>
      <c r="L57" s="75">
        <f>SUM(L58:L60)</f>
        <v>6450320797.6000004</v>
      </c>
      <c r="M57" s="75">
        <f>SUM(M58:M60)</f>
        <v>-903943159.93000007</v>
      </c>
      <c r="N57" s="111">
        <f>+M57/L57</f>
        <v>-0.14013925637099076</v>
      </c>
      <c r="O57" s="12"/>
      <c r="Q57" s="12"/>
      <c r="R57" s="11"/>
      <c r="S57" s="11"/>
    </row>
    <row r="58" spans="1:26" s="2" customFormat="1" ht="24" customHeight="1" x14ac:dyDescent="0.2">
      <c r="A58" s="113">
        <v>8120</v>
      </c>
      <c r="B58" s="76" t="s">
        <v>108</v>
      </c>
      <c r="C58" s="68"/>
      <c r="D58" s="193">
        <v>13584767.6</v>
      </c>
      <c r="E58" s="193">
        <v>13584767.6</v>
      </c>
      <c r="F58" s="74">
        <f>+D58-E58</f>
        <v>0</v>
      </c>
      <c r="G58" s="161">
        <f>+F58/E58</f>
        <v>0</v>
      </c>
      <c r="H58" s="164">
        <v>9120</v>
      </c>
      <c r="I58" s="76" t="s">
        <v>108</v>
      </c>
      <c r="J58" s="68"/>
      <c r="K58" s="193">
        <v>1148808091</v>
      </c>
      <c r="L58" s="193">
        <v>1148808091</v>
      </c>
      <c r="M58" s="74">
        <f>+K58-L58</f>
        <v>0</v>
      </c>
      <c r="N58" s="112">
        <f t="shared" ref="N58:N62" si="25">+M58/L58</f>
        <v>0</v>
      </c>
      <c r="P58" s="12">
        <f>+D55-K55</f>
        <v>-9892184308</v>
      </c>
    </row>
    <row r="59" spans="1:26" s="2" customFormat="1" ht="22.5" x14ac:dyDescent="0.2">
      <c r="A59" s="113">
        <v>8190</v>
      </c>
      <c r="B59" s="76" t="s">
        <v>109</v>
      </c>
      <c r="C59" s="68"/>
      <c r="D59" s="193">
        <v>760377036</v>
      </c>
      <c r="E59" s="193">
        <v>417530723</v>
      </c>
      <c r="F59" s="74">
        <f>+D59-E59</f>
        <v>342846313</v>
      </c>
      <c r="G59" s="161">
        <f>+F59/E59</f>
        <v>0.82112834844012184</v>
      </c>
      <c r="H59" s="164">
        <v>9128</v>
      </c>
      <c r="I59" s="76" t="s">
        <v>112</v>
      </c>
      <c r="J59" s="68"/>
      <c r="K59" s="193">
        <v>62177891.670000002</v>
      </c>
      <c r="L59" s="193">
        <v>966121051.60000002</v>
      </c>
      <c r="M59" s="74">
        <f>+K59-L59</f>
        <v>-903943159.93000007</v>
      </c>
      <c r="N59" s="112">
        <f t="shared" si="25"/>
        <v>-0.93564171739449553</v>
      </c>
    </row>
    <row r="60" spans="1:26" s="2" customFormat="1" ht="20.25" customHeight="1" x14ac:dyDescent="0.2">
      <c r="A60" s="114"/>
      <c r="B60" s="90"/>
      <c r="C60" s="68"/>
      <c r="D60" s="78"/>
      <c r="E60" s="78"/>
      <c r="F60" s="78"/>
      <c r="G60" s="148"/>
      <c r="H60" s="164">
        <v>9190</v>
      </c>
      <c r="I60" s="76" t="s">
        <v>166</v>
      </c>
      <c r="J60" s="68"/>
      <c r="K60" s="193">
        <v>4335391655</v>
      </c>
      <c r="L60" s="193">
        <v>4335391655</v>
      </c>
      <c r="M60" s="74">
        <f>+K60-L60</f>
        <v>0</v>
      </c>
      <c r="N60" s="112">
        <f t="shared" si="25"/>
        <v>0</v>
      </c>
    </row>
    <row r="61" spans="1:26" s="2" customFormat="1" ht="21" customHeight="1" x14ac:dyDescent="0.2">
      <c r="A61" s="114"/>
      <c r="B61" s="90"/>
      <c r="C61" s="68"/>
      <c r="D61" s="78"/>
      <c r="E61" s="78"/>
      <c r="F61" s="78"/>
      <c r="G61" s="148"/>
      <c r="H61" s="169">
        <v>93</v>
      </c>
      <c r="I61" s="44" t="s">
        <v>177</v>
      </c>
      <c r="J61" s="43"/>
      <c r="K61" s="75">
        <f>SUM(K62:K62)</f>
        <v>10496624645</v>
      </c>
      <c r="L61" s="75">
        <f>SUM(L62:L62)</f>
        <v>18431617000</v>
      </c>
      <c r="M61" s="75">
        <f>SUM(M62:M62)</f>
        <v>-7934992355</v>
      </c>
      <c r="N61" s="111">
        <f>+M61/L61</f>
        <v>-0.43050983291373729</v>
      </c>
    </row>
    <row r="62" spans="1:26" s="2" customFormat="1" ht="33" customHeight="1" x14ac:dyDescent="0.2">
      <c r="A62" s="114"/>
      <c r="B62" s="90"/>
      <c r="C62" s="68"/>
      <c r="D62" s="78"/>
      <c r="E62" s="78"/>
      <c r="F62" s="78"/>
      <c r="G62" s="148"/>
      <c r="H62" s="164">
        <v>9390</v>
      </c>
      <c r="I62" s="76" t="s">
        <v>196</v>
      </c>
      <c r="J62" s="68"/>
      <c r="K62" s="193">
        <v>10496624645</v>
      </c>
      <c r="L62" s="193">
        <v>18431617000</v>
      </c>
      <c r="M62" s="74">
        <f>+K62-L62</f>
        <v>-7934992355</v>
      </c>
      <c r="N62" s="112">
        <f t="shared" si="25"/>
        <v>-0.43050983291373729</v>
      </c>
    </row>
    <row r="63" spans="1:26" s="2" customFormat="1" ht="22.5" x14ac:dyDescent="0.2">
      <c r="A63" s="114">
        <v>89</v>
      </c>
      <c r="B63" s="44" t="s">
        <v>164</v>
      </c>
      <c r="C63" s="43"/>
      <c r="D63" s="75">
        <f>SUM(D64:D65)</f>
        <v>-773961803.60000002</v>
      </c>
      <c r="E63" s="75">
        <f>SUM(E64:E65)</f>
        <v>-431115490.60000002</v>
      </c>
      <c r="F63" s="75">
        <f>SUM(F64:F65)</f>
        <v>-342846313</v>
      </c>
      <c r="G63" s="163">
        <f>+F63/E63</f>
        <v>0.79525398756339649</v>
      </c>
      <c r="H63" s="165">
        <v>99</v>
      </c>
      <c r="I63" s="90" t="s">
        <v>163</v>
      </c>
      <c r="J63" s="43"/>
      <c r="K63" s="78">
        <f>SUM(K64:K65)</f>
        <v>-16043002282.67</v>
      </c>
      <c r="L63" s="78">
        <f>SUM(L64:L65)</f>
        <v>-24881937797.599998</v>
      </c>
      <c r="M63" s="78">
        <f>SUM(M64:M65)</f>
        <v>8838935514.9300003</v>
      </c>
      <c r="N63" s="170">
        <f>+M63/L63</f>
        <v>-0.35523501372077881</v>
      </c>
      <c r="V63" s="81"/>
    </row>
    <row r="64" spans="1:26" s="2" customFormat="1" ht="22.5" x14ac:dyDescent="0.2">
      <c r="A64" s="113">
        <v>8905</v>
      </c>
      <c r="B64" s="76" t="s">
        <v>110</v>
      </c>
      <c r="C64" s="43"/>
      <c r="D64" s="193">
        <v>-773961803.60000002</v>
      </c>
      <c r="E64" s="193">
        <v>-431115490.60000002</v>
      </c>
      <c r="F64" s="74">
        <f>+D64-E64</f>
        <v>-342846313</v>
      </c>
      <c r="G64" s="171">
        <f>+F64/E64</f>
        <v>0.79525398756339649</v>
      </c>
      <c r="H64" s="49">
        <v>9905</v>
      </c>
      <c r="I64" s="76" t="s">
        <v>168</v>
      </c>
      <c r="J64" s="43"/>
      <c r="K64" s="193">
        <v>-5546377637.6700001</v>
      </c>
      <c r="L64" s="74">
        <v>-6450320797.6000004</v>
      </c>
      <c r="M64" s="74">
        <f>+K64-L64</f>
        <v>903943159.93000031</v>
      </c>
      <c r="N64" s="115">
        <f t="shared" ref="N64:N65" si="26">+M64/L64</f>
        <v>-0.14013925637099081</v>
      </c>
      <c r="U64" s="81"/>
      <c r="V64" s="81"/>
    </row>
    <row r="65" spans="1:20" ht="22.5" x14ac:dyDescent="0.2">
      <c r="A65" s="113"/>
      <c r="B65" s="76"/>
      <c r="C65" s="68"/>
      <c r="D65" s="79"/>
      <c r="E65" s="79"/>
      <c r="F65" s="74"/>
      <c r="G65" s="172"/>
      <c r="H65" s="49">
        <v>9915</v>
      </c>
      <c r="I65" s="76" t="s">
        <v>171</v>
      </c>
      <c r="J65" s="68"/>
      <c r="K65" s="193">
        <v>-10496624645</v>
      </c>
      <c r="L65" s="74">
        <v>-18431617000</v>
      </c>
      <c r="M65" s="74">
        <f>+K65-L65</f>
        <v>7934992355</v>
      </c>
      <c r="N65" s="115">
        <f t="shared" si="26"/>
        <v>-0.43050983291373729</v>
      </c>
      <c r="O65" s="2"/>
      <c r="P65" s="2"/>
      <c r="Q65" s="2"/>
      <c r="R65" s="2"/>
      <c r="S65" s="2"/>
      <c r="T65" s="2"/>
    </row>
    <row r="66" spans="1:20" ht="3.75" customHeight="1" x14ac:dyDescent="0.2">
      <c r="A66" s="113"/>
      <c r="B66" s="76"/>
      <c r="C66" s="68"/>
      <c r="D66" s="79"/>
      <c r="E66" s="79"/>
      <c r="F66" s="74"/>
      <c r="G66" s="162"/>
      <c r="H66" s="49"/>
      <c r="I66" s="76"/>
      <c r="J66" s="68"/>
      <c r="K66" s="79"/>
      <c r="L66" s="79"/>
      <c r="M66" s="74"/>
      <c r="N66" s="115"/>
      <c r="O66" s="2"/>
      <c r="P66" s="2"/>
      <c r="Q66" s="2"/>
      <c r="R66" s="2"/>
      <c r="S66" s="2"/>
      <c r="T66" s="2"/>
    </row>
    <row r="67" spans="1:20" ht="43.5" customHeight="1" x14ac:dyDescent="0.2">
      <c r="A67" s="309" t="s">
        <v>207</v>
      </c>
      <c r="B67" s="310"/>
      <c r="C67" s="310"/>
      <c r="D67" s="310"/>
      <c r="E67" s="310"/>
      <c r="F67" s="310"/>
      <c r="G67" s="310"/>
      <c r="H67" s="310"/>
      <c r="I67" s="310"/>
      <c r="J67" s="310"/>
      <c r="K67" s="310"/>
      <c r="L67" s="310"/>
      <c r="M67" s="310"/>
      <c r="N67" s="311"/>
    </row>
    <row r="68" spans="1:20" ht="28.5" customHeight="1" x14ac:dyDescent="0.2">
      <c r="A68" s="103"/>
      <c r="B68" s="6"/>
      <c r="C68" s="70"/>
      <c r="D68" s="22"/>
      <c r="E68" s="5"/>
      <c r="F68" s="5"/>
      <c r="G68" s="5"/>
      <c r="H68" s="6"/>
      <c r="I68" s="22"/>
      <c r="J68" s="72"/>
      <c r="K68" s="22"/>
      <c r="L68" s="5"/>
      <c r="M68" s="5"/>
      <c r="N68" s="118"/>
    </row>
    <row r="69" spans="1:20" x14ac:dyDescent="0.2">
      <c r="A69" s="103"/>
      <c r="B69" s="6"/>
      <c r="C69" s="70"/>
      <c r="D69" s="22"/>
      <c r="E69" s="5"/>
      <c r="F69" s="5"/>
      <c r="G69" s="5"/>
      <c r="H69" s="6"/>
      <c r="I69" s="6"/>
      <c r="J69" s="70"/>
      <c r="K69" s="22"/>
      <c r="L69" s="5"/>
      <c r="M69" s="5"/>
      <c r="N69" s="118"/>
    </row>
    <row r="70" spans="1:20" x14ac:dyDescent="0.2">
      <c r="A70" s="303" t="s">
        <v>189</v>
      </c>
      <c r="B70" s="304"/>
      <c r="C70" s="304"/>
      <c r="D70" s="304"/>
      <c r="E70" s="208" t="s">
        <v>66</v>
      </c>
      <c r="F70" s="208"/>
      <c r="G70" s="208"/>
      <c r="H70" s="208"/>
      <c r="I70" s="7"/>
      <c r="J70" s="66"/>
      <c r="K70" s="82" t="s">
        <v>172</v>
      </c>
      <c r="L70" s="18"/>
      <c r="M70" s="5"/>
      <c r="N70" s="118"/>
    </row>
    <row r="71" spans="1:20" x14ac:dyDescent="0.2">
      <c r="A71" s="305" t="s">
        <v>190</v>
      </c>
      <c r="B71" s="306"/>
      <c r="C71" s="306"/>
      <c r="D71" s="306"/>
      <c r="E71" s="206" t="s">
        <v>67</v>
      </c>
      <c r="F71" s="206"/>
      <c r="G71" s="206"/>
      <c r="H71" s="206"/>
      <c r="I71" s="205"/>
      <c r="J71" s="205"/>
      <c r="K71" s="82" t="s">
        <v>29</v>
      </c>
      <c r="L71" s="91"/>
      <c r="M71" s="92"/>
      <c r="N71" s="119"/>
    </row>
    <row r="72" spans="1:20" x14ac:dyDescent="0.2">
      <c r="A72" s="307" t="s">
        <v>191</v>
      </c>
      <c r="B72" s="308"/>
      <c r="C72" s="308"/>
      <c r="D72" s="308"/>
      <c r="E72" s="207" t="s">
        <v>113</v>
      </c>
      <c r="F72" s="207"/>
      <c r="G72" s="207"/>
      <c r="H72" s="207"/>
      <c r="I72" s="7"/>
      <c r="J72" s="206"/>
      <c r="K72" s="207" t="s">
        <v>114</v>
      </c>
      <c r="L72" s="91"/>
      <c r="M72" s="92"/>
      <c r="N72" s="119"/>
    </row>
    <row r="73" spans="1:20" ht="13.5" thickBot="1" x14ac:dyDescent="0.25">
      <c r="A73" s="301"/>
      <c r="B73" s="302"/>
      <c r="C73" s="204"/>
      <c r="D73" s="120"/>
      <c r="E73" s="204"/>
      <c r="F73" s="204"/>
      <c r="G73" s="204"/>
      <c r="H73" s="204"/>
      <c r="I73" s="204"/>
      <c r="J73" s="204"/>
      <c r="K73" s="154" t="s">
        <v>115</v>
      </c>
      <c r="L73" s="121"/>
      <c r="M73" s="122"/>
      <c r="N73" s="123"/>
    </row>
    <row r="77" spans="1:20" ht="13.5" thickBot="1" x14ac:dyDescent="0.25">
      <c r="A77" s="81">
        <v>1</v>
      </c>
      <c r="B77" s="24" t="s">
        <v>30</v>
      </c>
      <c r="C77" s="24"/>
      <c r="D77" s="19">
        <v>2022</v>
      </c>
      <c r="E77" s="19">
        <v>2021</v>
      </c>
      <c r="K77" s="36" t="s">
        <v>175</v>
      </c>
    </row>
    <row r="79" spans="1:20" hidden="1" x14ac:dyDescent="0.2">
      <c r="A79" s="81">
        <v>1.1000000000000001</v>
      </c>
      <c r="B79" s="3" t="s">
        <v>31</v>
      </c>
      <c r="C79" s="8"/>
      <c r="D79" s="14">
        <f>+D9-K9</f>
        <v>248704337466.32996</v>
      </c>
      <c r="E79" s="14">
        <f>+E9-L9</f>
        <v>253396982592.59</v>
      </c>
      <c r="F79" s="17" t="s">
        <v>32</v>
      </c>
      <c r="I79" s="14">
        <f>+D79-E79</f>
        <v>-4692645126.2600403</v>
      </c>
      <c r="J79" s="73"/>
      <c r="K79" s="111">
        <f>+I79/E79</f>
        <v>-1.8518946351483767E-2</v>
      </c>
    </row>
    <row r="80" spans="1:20" x14ac:dyDescent="0.2">
      <c r="A80" s="81">
        <v>1.2</v>
      </c>
      <c r="B80" s="3" t="s">
        <v>33</v>
      </c>
      <c r="C80" s="8"/>
      <c r="D80" s="14">
        <f>+D9/K9</f>
        <v>5.9172281210621378</v>
      </c>
      <c r="E80" s="14">
        <f>+E9/L9</f>
        <v>7.9053505187108701</v>
      </c>
      <c r="F80" s="17" t="s">
        <v>34</v>
      </c>
      <c r="I80" s="14">
        <f>+D80-E80</f>
        <v>-1.9881223976487323</v>
      </c>
      <c r="J80" s="73"/>
      <c r="K80" s="111">
        <f>+I80/E80</f>
        <v>-0.25149073313613635</v>
      </c>
    </row>
    <row r="82" spans="1:14" x14ac:dyDescent="0.2">
      <c r="A82" s="81">
        <v>2</v>
      </c>
      <c r="B82" s="3" t="s">
        <v>35</v>
      </c>
      <c r="C82" s="8"/>
      <c r="D82" s="14">
        <f>+K40/D55*100</f>
        <v>7.9580052160551151</v>
      </c>
      <c r="E82" s="14">
        <f>+L40/E55*100</f>
        <v>5.9893151229466399</v>
      </c>
      <c r="F82" s="17" t="s">
        <v>36</v>
      </c>
      <c r="I82" s="14">
        <f>+D82-E82</f>
        <v>1.9686900931084752</v>
      </c>
      <c r="J82" s="73"/>
      <c r="K82" s="111">
        <f>+I82/E82</f>
        <v>0.32870036935707492</v>
      </c>
    </row>
    <row r="84" spans="1:14" x14ac:dyDescent="0.2">
      <c r="B84" s="24"/>
      <c r="C84" s="24"/>
      <c r="D84" s="17" t="e">
        <f>+D9-#REF!</f>
        <v>#REF!</v>
      </c>
      <c r="E84" s="17"/>
      <c r="F84" s="18"/>
      <c r="G84" s="10"/>
      <c r="H84" s="25"/>
      <c r="I84" s="80"/>
      <c r="K84" s="9"/>
      <c r="L84" s="299"/>
      <c r="M84" s="299"/>
      <c r="N84" s="299"/>
    </row>
    <row r="85" spans="1:14" x14ac:dyDescent="0.2">
      <c r="D85" s="14" t="e">
        <f>+D84/K9</f>
        <v>#REF!</v>
      </c>
    </row>
    <row r="87" spans="1:14" x14ac:dyDescent="0.2">
      <c r="I87" s="14"/>
      <c r="J87" s="73"/>
    </row>
  </sheetData>
  <mergeCells count="21">
    <mergeCell ref="A73:B73"/>
    <mergeCell ref="L84:N84"/>
    <mergeCell ref="P6:Q6"/>
    <mergeCell ref="R6:S6"/>
    <mergeCell ref="A70:D70"/>
    <mergeCell ref="A71:D71"/>
    <mergeCell ref="A72:D72"/>
    <mergeCell ref="A67:N67"/>
    <mergeCell ref="A6:A7"/>
    <mergeCell ref="B6:B7"/>
    <mergeCell ref="C6:C7"/>
    <mergeCell ref="G6:G7"/>
    <mergeCell ref="H6:H7"/>
    <mergeCell ref="I6:I7"/>
    <mergeCell ref="J6:J7"/>
    <mergeCell ref="N6:N7"/>
    <mergeCell ref="A1:N1"/>
    <mergeCell ref="A2:N2"/>
    <mergeCell ref="A3:N3"/>
    <mergeCell ref="A4:N4"/>
    <mergeCell ref="A5:N5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4EC1-6B1F-4ABD-82BB-DF4874E28F08}">
  <dimension ref="A1:AD85"/>
  <sheetViews>
    <sheetView topLeftCell="A43" zoomScaleNormal="100" workbookViewId="0">
      <selection activeCell="Y53" sqref="Y53:Z53"/>
    </sheetView>
  </sheetViews>
  <sheetFormatPr baseColWidth="10" defaultColWidth="11.42578125" defaultRowHeight="12.75" x14ac:dyDescent="0.2"/>
  <cols>
    <col min="1" max="1" width="5.140625" style="81" customWidth="1"/>
    <col min="2" max="2" width="25.42578125" style="81" customWidth="1"/>
    <col min="3" max="3" width="1.140625" style="71" customWidth="1"/>
    <col min="4" max="4" width="17.85546875" style="14" customWidth="1"/>
    <col min="5" max="5" width="18.28515625" style="14" customWidth="1"/>
    <col min="6" max="6" width="28" style="14" hidden="1" customWidth="1"/>
    <col min="7" max="7" width="10.85546875" style="14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42578125" style="21" customWidth="1"/>
    <col min="12" max="12" width="14" style="14" customWidth="1"/>
    <col min="13" max="13" width="13.28515625" style="14" hidden="1" customWidth="1"/>
    <col min="14" max="14" width="7.425781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85" t="s">
        <v>174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7"/>
    </row>
    <row r="2" spans="1:25" s="1" customFormat="1" ht="18" x14ac:dyDescent="0.25">
      <c r="A2" s="288" t="s">
        <v>167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90"/>
    </row>
    <row r="3" spans="1:25" s="1" customFormat="1" ht="18" x14ac:dyDescent="0.25">
      <c r="A3" s="288" t="s">
        <v>173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</row>
    <row r="4" spans="1:25" s="1" customFormat="1" ht="18" x14ac:dyDescent="0.25">
      <c r="A4" s="288" t="s">
        <v>186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90"/>
    </row>
    <row r="5" spans="1:25" s="1" customFormat="1" ht="18" x14ac:dyDescent="0.25">
      <c r="A5" s="291" t="s">
        <v>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3"/>
    </row>
    <row r="6" spans="1:25" s="2" customFormat="1" ht="14.25" customHeight="1" x14ac:dyDescent="0.2">
      <c r="A6" s="294" t="s">
        <v>0</v>
      </c>
      <c r="B6" s="295" t="s">
        <v>38</v>
      </c>
      <c r="C6" s="295"/>
      <c r="D6" s="93">
        <v>2023</v>
      </c>
      <c r="E6" s="93">
        <v>2023</v>
      </c>
      <c r="F6" s="43" t="s">
        <v>2</v>
      </c>
      <c r="G6" s="296" t="s">
        <v>151</v>
      </c>
      <c r="H6" s="297" t="s">
        <v>0</v>
      </c>
      <c r="I6" s="295" t="s">
        <v>38</v>
      </c>
      <c r="J6" s="295"/>
      <c r="K6" s="93">
        <v>2023</v>
      </c>
      <c r="L6" s="93">
        <v>2023</v>
      </c>
      <c r="M6" s="43" t="s">
        <v>2</v>
      </c>
      <c r="N6" s="298" t="s">
        <v>151</v>
      </c>
      <c r="P6" s="300" t="s">
        <v>1</v>
      </c>
      <c r="Q6" s="300"/>
      <c r="R6" s="300" t="s">
        <v>4</v>
      </c>
      <c r="S6" s="300"/>
    </row>
    <row r="7" spans="1:25" s="2" customFormat="1" ht="12" customHeight="1" x14ac:dyDescent="0.2">
      <c r="A7" s="294"/>
      <c r="B7" s="295"/>
      <c r="C7" s="295"/>
      <c r="D7" s="93" t="s">
        <v>181</v>
      </c>
      <c r="E7" s="93" t="s">
        <v>185</v>
      </c>
      <c r="F7" s="43" t="s">
        <v>5</v>
      </c>
      <c r="G7" s="296"/>
      <c r="H7" s="297"/>
      <c r="I7" s="295"/>
      <c r="J7" s="295"/>
      <c r="K7" s="93" t="s">
        <v>181</v>
      </c>
      <c r="L7" s="93" t="s">
        <v>185</v>
      </c>
      <c r="M7" s="43" t="s">
        <v>5</v>
      </c>
      <c r="N7" s="298"/>
    </row>
    <row r="8" spans="1:25" s="2" customFormat="1" ht="15.75" customHeight="1" x14ac:dyDescent="0.2">
      <c r="A8" s="109"/>
      <c r="B8" s="186" t="s">
        <v>1</v>
      </c>
      <c r="C8" s="43"/>
      <c r="D8" s="89"/>
      <c r="E8" s="89"/>
      <c r="F8" s="89"/>
      <c r="G8" s="124"/>
      <c r="H8" s="41"/>
      <c r="I8" s="186" t="s">
        <v>3</v>
      </c>
      <c r="J8" s="43"/>
      <c r="K8" s="20"/>
      <c r="L8" s="42"/>
      <c r="M8" s="42"/>
      <c r="N8" s="110"/>
    </row>
    <row r="9" spans="1:25" s="2" customFormat="1" ht="21.75" customHeight="1" x14ac:dyDescent="0.2">
      <c r="A9" s="109"/>
      <c r="B9" s="40" t="s">
        <v>69</v>
      </c>
      <c r="C9" s="43"/>
      <c r="D9" s="127">
        <f>+D10+D14+D16+D22+D26</f>
        <v>218866696567.09</v>
      </c>
      <c r="E9" s="127">
        <f>+E10+E14+E16+E22+E26</f>
        <v>199397644018.56</v>
      </c>
      <c r="F9" s="127">
        <f>+F10+F14+F16+F22+F26</f>
        <v>19469052548.530006</v>
      </c>
      <c r="G9" s="128">
        <f t="shared" ref="G9:G16" si="0">+F9/E9</f>
        <v>9.7639330917660291E-2</v>
      </c>
      <c r="H9" s="41"/>
      <c r="I9" s="40" t="s">
        <v>93</v>
      </c>
      <c r="J9" s="43"/>
      <c r="K9" s="127">
        <f>+K10+K18+K21+K25</f>
        <v>26433978148.950001</v>
      </c>
      <c r="L9" s="127">
        <f>+L10+L18+L21+L25</f>
        <v>21529313828.98</v>
      </c>
      <c r="M9" s="127">
        <f>+M10+M18+M21+M25</f>
        <v>4904664319.9699993</v>
      </c>
      <c r="N9" s="129">
        <f>+M9/L9</f>
        <v>0.22781331346324515</v>
      </c>
      <c r="P9" s="32">
        <f>+D9/D9*100</f>
        <v>100</v>
      </c>
      <c r="Q9" s="39">
        <f>+D9/D53*100</f>
        <v>44.122907804592288</v>
      </c>
    </row>
    <row r="10" spans="1:25" s="2" customFormat="1" ht="26.25" customHeight="1" x14ac:dyDescent="0.2">
      <c r="A10" s="114">
        <v>11</v>
      </c>
      <c r="B10" s="140" t="s">
        <v>70</v>
      </c>
      <c r="C10" s="43"/>
      <c r="D10" s="75">
        <f>SUM(D11:D13)</f>
        <v>79067163216.919998</v>
      </c>
      <c r="E10" s="75">
        <f>SUM(E11:E13)</f>
        <v>27292106293.780003</v>
      </c>
      <c r="F10" s="75">
        <f>SUM(F11:F13)</f>
        <v>51775056923.139992</v>
      </c>
      <c r="G10" s="125">
        <f t="shared" si="0"/>
        <v>1.8970707634588015</v>
      </c>
      <c r="H10" s="45">
        <v>24</v>
      </c>
      <c r="I10" s="44" t="s">
        <v>94</v>
      </c>
      <c r="J10" s="43"/>
      <c r="K10" s="75">
        <f>SUM(K11:K16)</f>
        <v>2739936246.6800003</v>
      </c>
      <c r="L10" s="75">
        <f>SUM(L11:L16)</f>
        <v>4284261318.6599998</v>
      </c>
      <c r="M10" s="75">
        <f>SUM(M11:M16)</f>
        <v>-1544325071.98</v>
      </c>
      <c r="N10" s="111">
        <f t="shared" ref="N10:N14" si="1">+M10/L10</f>
        <v>-0.36046472358110565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74">
        <v>589493398</v>
      </c>
      <c r="E11" s="74">
        <v>589493398</v>
      </c>
      <c r="F11" s="74">
        <f>+D11-E11</f>
        <v>0</v>
      </c>
      <c r="G11" s="126">
        <f t="shared" si="0"/>
        <v>0</v>
      </c>
      <c r="H11" s="46">
        <v>2401</v>
      </c>
      <c r="I11" s="76" t="s">
        <v>95</v>
      </c>
      <c r="J11" s="68"/>
      <c r="K11" s="74">
        <v>771084752.23000002</v>
      </c>
      <c r="L11" s="74">
        <v>1608084745.5</v>
      </c>
      <c r="M11" s="74">
        <f>+K11-L11</f>
        <v>-836999993.26999998</v>
      </c>
      <c r="N11" s="112">
        <f t="shared" si="1"/>
        <v>-0.52049495252798539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74">
        <v>78082832997.139999</v>
      </c>
      <c r="E12" s="74">
        <v>22125009902.990002</v>
      </c>
      <c r="F12" s="74">
        <f>+D12-E12</f>
        <v>55957823094.149994</v>
      </c>
      <c r="G12" s="126">
        <f t="shared" si="0"/>
        <v>2.5291660134618872</v>
      </c>
      <c r="H12" s="46">
        <v>2407</v>
      </c>
      <c r="I12" s="76" t="s">
        <v>96</v>
      </c>
      <c r="J12" s="68"/>
      <c r="K12" s="74">
        <v>12480803</v>
      </c>
      <c r="L12" s="74">
        <v>67237888</v>
      </c>
      <c r="M12" s="74">
        <f t="shared" ref="M12:M16" si="2">+K12-L12</f>
        <v>-54757085</v>
      </c>
      <c r="N12" s="112">
        <f t="shared" si="1"/>
        <v>-0.81437842009552708</v>
      </c>
      <c r="P12" s="11">
        <f>+D10/$D$9*100</f>
        <v>36.125716912204254</v>
      </c>
      <c r="S12" s="11">
        <f>+K10/$K$35*100</f>
        <v>611.90860787579368</v>
      </c>
    </row>
    <row r="13" spans="1:25" s="2" customFormat="1" ht="18" customHeight="1" x14ac:dyDescent="0.2">
      <c r="A13" s="109">
        <v>1133</v>
      </c>
      <c r="B13" s="41" t="s">
        <v>72</v>
      </c>
      <c r="C13" s="68"/>
      <c r="D13" s="74">
        <v>394836821.77999997</v>
      </c>
      <c r="E13" s="74">
        <v>4577602992.79</v>
      </c>
      <c r="F13" s="74">
        <f>+D13-E13</f>
        <v>-4182766171.0100002</v>
      </c>
      <c r="G13" s="126">
        <f t="shared" si="0"/>
        <v>-0.91374594467849413</v>
      </c>
      <c r="H13" s="46">
        <v>2424</v>
      </c>
      <c r="I13" s="76" t="s">
        <v>97</v>
      </c>
      <c r="J13" s="68"/>
      <c r="K13" s="74">
        <v>1114168764</v>
      </c>
      <c r="L13" s="74">
        <v>1789813259</v>
      </c>
      <c r="M13" s="74">
        <f t="shared" si="2"/>
        <v>-675644495</v>
      </c>
      <c r="N13" s="112">
        <f t="shared" si="1"/>
        <v>-0.37749440708551596</v>
      </c>
      <c r="P13" s="11">
        <f>+D18/$D$9*100</f>
        <v>3.1343279300134085E-4</v>
      </c>
      <c r="R13" s="11">
        <f>+K11/$K$10*100</f>
        <v>28.142434086352509</v>
      </c>
      <c r="S13" s="11"/>
    </row>
    <row r="14" spans="1:25" s="2" customFormat="1" ht="28.15" customHeight="1" x14ac:dyDescent="0.2">
      <c r="A14" s="114">
        <v>12</v>
      </c>
      <c r="B14" s="140" t="s">
        <v>179</v>
      </c>
      <c r="C14" s="68"/>
      <c r="D14" s="75">
        <f>+D15</f>
        <v>111614969158.99001</v>
      </c>
      <c r="E14" s="75">
        <f>+E15</f>
        <v>144458317661.98999</v>
      </c>
      <c r="F14" s="75">
        <f>+F15</f>
        <v>-32843348502.999985</v>
      </c>
      <c r="G14" s="125">
        <f t="shared" si="0"/>
        <v>-0.22735519168822327</v>
      </c>
      <c r="H14" s="46">
        <v>2436</v>
      </c>
      <c r="I14" s="76" t="s">
        <v>98</v>
      </c>
      <c r="J14" s="68"/>
      <c r="K14" s="74">
        <v>131003405</v>
      </c>
      <c r="L14" s="74">
        <v>302838410</v>
      </c>
      <c r="M14" s="74">
        <f t="shared" si="2"/>
        <v>-171835005</v>
      </c>
      <c r="N14" s="112">
        <f t="shared" si="1"/>
        <v>-0.56741483023900441</v>
      </c>
      <c r="P14" s="11"/>
      <c r="R14" s="11"/>
      <c r="S14" s="11"/>
      <c r="Y14" s="12"/>
    </row>
    <row r="15" spans="1:25" s="2" customFormat="1" ht="36" customHeight="1" x14ac:dyDescent="0.2">
      <c r="A15" s="109">
        <v>1223</v>
      </c>
      <c r="B15" s="76" t="s">
        <v>180</v>
      </c>
      <c r="C15" s="68"/>
      <c r="D15" s="74">
        <v>111614969158.99001</v>
      </c>
      <c r="E15" s="74">
        <v>144458317661.98999</v>
      </c>
      <c r="F15" s="74">
        <f t="shared" ref="F15" si="3">+D15-E15</f>
        <v>-32843348502.999985</v>
      </c>
      <c r="G15" s="126">
        <f t="shared" si="0"/>
        <v>-0.22735519168822327</v>
      </c>
      <c r="H15" s="46">
        <v>2440</v>
      </c>
      <c r="I15" s="76" t="s">
        <v>99</v>
      </c>
      <c r="J15" s="68"/>
      <c r="K15" s="74">
        <v>9898000</v>
      </c>
      <c r="L15" s="74">
        <v>6109000</v>
      </c>
      <c r="M15" s="74">
        <f t="shared" si="2"/>
        <v>3789000</v>
      </c>
      <c r="N15" s="112">
        <f>+M15/L15</f>
        <v>0.62023244393517762</v>
      </c>
      <c r="P15" s="11"/>
      <c r="R15" s="11">
        <f>+K12/$K$10*100</f>
        <v>0.45551435786592026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SUM(D17:D21)</f>
        <v>14031521778.879999</v>
      </c>
      <c r="E16" s="75">
        <f>SUM(E17:E21)</f>
        <v>26566911498.68</v>
      </c>
      <c r="F16" s="75">
        <f>SUM(F17:F21)</f>
        <v>-12535389719.800001</v>
      </c>
      <c r="G16" s="125">
        <f t="shared" si="0"/>
        <v>-0.47184219062960453</v>
      </c>
      <c r="H16" s="41">
        <v>2490</v>
      </c>
      <c r="I16" s="41" t="s">
        <v>100</v>
      </c>
      <c r="J16" s="68"/>
      <c r="K16" s="74">
        <v>701300522.45000005</v>
      </c>
      <c r="L16" s="74">
        <v>510178016.16000003</v>
      </c>
      <c r="M16" s="74">
        <f t="shared" si="2"/>
        <v>191122506.29000002</v>
      </c>
      <c r="N16" s="112">
        <f t="shared" ref="N16" si="4">+M16/L16</f>
        <v>0.37461925099897075</v>
      </c>
      <c r="P16" s="11">
        <f>+D20/$D$9*100</f>
        <v>0.22810865641541855</v>
      </c>
      <c r="R16" s="11">
        <f>+K13/$K$10*100</f>
        <v>40.664039732677942</v>
      </c>
      <c r="S16" s="11"/>
    </row>
    <row r="17" spans="1:30" s="2" customFormat="1" ht="9.75" customHeight="1" x14ac:dyDescent="0.2">
      <c r="A17" s="113"/>
      <c r="B17" s="76"/>
      <c r="C17" s="68"/>
      <c r="D17" s="74"/>
      <c r="E17" s="74"/>
      <c r="F17" s="74"/>
      <c r="G17" s="126"/>
      <c r="H17" s="41"/>
      <c r="I17" s="76"/>
      <c r="J17" s="68"/>
      <c r="K17" s="74"/>
      <c r="L17" s="74"/>
      <c r="M17" s="74"/>
      <c r="N17" s="115"/>
      <c r="P17" s="11">
        <f>+D22/$D$20*100</f>
        <v>84.044298596219264</v>
      </c>
      <c r="R17" s="11">
        <f>+K15/$K$10*100</f>
        <v>0.36124928132884387</v>
      </c>
      <c r="S17" s="11"/>
    </row>
    <row r="18" spans="1:30" s="2" customFormat="1" ht="26.25" customHeight="1" x14ac:dyDescent="0.2">
      <c r="A18" s="113">
        <v>1316</v>
      </c>
      <c r="B18" s="76" t="s">
        <v>7</v>
      </c>
      <c r="C18" s="68"/>
      <c r="D18" s="74">
        <v>686000</v>
      </c>
      <c r="E18" s="74">
        <v>111000</v>
      </c>
      <c r="F18" s="74">
        <f t="shared" ref="F18:F21" si="5">+D18-E18</f>
        <v>575000</v>
      </c>
      <c r="G18" s="126">
        <f>+F18/E18</f>
        <v>5.1801801801801801</v>
      </c>
      <c r="H18" s="45">
        <v>25</v>
      </c>
      <c r="I18" s="140" t="s">
        <v>101</v>
      </c>
      <c r="J18" s="43"/>
      <c r="K18" s="75">
        <f>+K19</f>
        <v>14269185742.34</v>
      </c>
      <c r="L18" s="75">
        <f>+L19</f>
        <v>11138762432.6</v>
      </c>
      <c r="M18" s="75">
        <f>+M19</f>
        <v>3130423309.7399998</v>
      </c>
      <c r="N18" s="111">
        <f>+M18/L18</f>
        <v>0.28103869964747052</v>
      </c>
      <c r="P18" s="11"/>
      <c r="R18" s="11">
        <f>+K16/$K$10*100</f>
        <v>25.595505125338985</v>
      </c>
      <c r="S18" s="11">
        <f>+K16/$K$35*100</f>
        <v>156.62109909123922</v>
      </c>
    </row>
    <row r="19" spans="1:30" s="2" customFormat="1" ht="33" customHeight="1" x14ac:dyDescent="0.2">
      <c r="A19" s="116">
        <v>1317</v>
      </c>
      <c r="B19" s="76" t="s">
        <v>74</v>
      </c>
      <c r="C19" s="68"/>
      <c r="D19" s="74">
        <v>13512108864</v>
      </c>
      <c r="E19" s="74">
        <v>12470078751</v>
      </c>
      <c r="F19" s="74">
        <f t="shared" si="5"/>
        <v>1042030113</v>
      </c>
      <c r="G19" s="126">
        <f>+F19/E19</f>
        <v>8.3562432427817468E-2</v>
      </c>
      <c r="H19" s="48">
        <v>2511</v>
      </c>
      <c r="I19" s="76" t="s">
        <v>102</v>
      </c>
      <c r="J19" s="68"/>
      <c r="K19" s="74">
        <v>14269185742.34</v>
      </c>
      <c r="L19" s="74">
        <v>11138762432.6</v>
      </c>
      <c r="M19" s="74">
        <f>+K19-L19</f>
        <v>3130423309.7399998</v>
      </c>
      <c r="N19" s="112">
        <f>+M19/L19</f>
        <v>0.28103869964747052</v>
      </c>
      <c r="R19" s="11" t="e">
        <f>+#REF!/$K$10*100</f>
        <v>#REF!</v>
      </c>
      <c r="S19" s="11"/>
    </row>
    <row r="20" spans="1:30" s="2" customFormat="1" ht="20.25" customHeight="1" x14ac:dyDescent="0.2">
      <c r="A20" s="116">
        <v>1337</v>
      </c>
      <c r="B20" s="76" t="s">
        <v>161</v>
      </c>
      <c r="C20" s="68"/>
      <c r="D20" s="74">
        <v>499253880.88</v>
      </c>
      <c r="E20" s="74">
        <v>14081225176.68</v>
      </c>
      <c r="F20" s="74">
        <f t="shared" si="5"/>
        <v>-13581971295.800001</v>
      </c>
      <c r="G20" s="126">
        <f>+F20/E20</f>
        <v>-0.96454471293401256</v>
      </c>
      <c r="H20" s="41"/>
      <c r="I20" s="41"/>
      <c r="J20" s="68"/>
      <c r="K20" s="74"/>
      <c r="L20" s="74"/>
      <c r="M20" s="74"/>
      <c r="N20" s="117"/>
      <c r="S20" s="11"/>
      <c r="X20" s="46"/>
      <c r="Y20" s="12"/>
      <c r="AD20" s="126"/>
    </row>
    <row r="21" spans="1:30" s="2" customFormat="1" ht="21.75" customHeight="1" x14ac:dyDescent="0.2">
      <c r="A21" s="116">
        <v>1384</v>
      </c>
      <c r="B21" s="76" t="s">
        <v>75</v>
      </c>
      <c r="C21" s="68"/>
      <c r="D21" s="74">
        <v>19473034</v>
      </c>
      <c r="E21" s="74">
        <v>15496571</v>
      </c>
      <c r="F21" s="74">
        <f t="shared" si="5"/>
        <v>3976463</v>
      </c>
      <c r="G21" s="126">
        <f t="shared" ref="G21:G27" si="6">+F21/E21</f>
        <v>0.25660276715410141</v>
      </c>
      <c r="H21" s="45">
        <v>27</v>
      </c>
      <c r="I21" s="44" t="s">
        <v>103</v>
      </c>
      <c r="J21" s="43"/>
      <c r="K21" s="75">
        <f>SUM(K22:K23)</f>
        <v>220057233</v>
      </c>
      <c r="L21" s="75">
        <f>SUM(L22:L23)</f>
        <v>613984513</v>
      </c>
      <c r="M21" s="75">
        <f>SUM(M22:M23)</f>
        <v>-393927280</v>
      </c>
      <c r="N21" s="111">
        <f>+M21/L21</f>
        <v>-0.64159155753819475</v>
      </c>
      <c r="P21" s="11" t="e">
        <f>+#REF!/$D$20*100</f>
        <v>#REF!</v>
      </c>
      <c r="Q21" s="11"/>
      <c r="R21" s="11"/>
      <c r="S21" s="11">
        <f>+K18/$K$35*100</f>
        <v>3186.7301999075112</v>
      </c>
      <c r="X21" s="46"/>
      <c r="Y21" s="12"/>
      <c r="AD21" s="126"/>
    </row>
    <row r="22" spans="1:30" s="2" customFormat="1" ht="18" customHeight="1" x14ac:dyDescent="0.2">
      <c r="A22" s="114">
        <v>15</v>
      </c>
      <c r="B22" s="44" t="s">
        <v>77</v>
      </c>
      <c r="C22" s="43"/>
      <c r="D22" s="75">
        <f>SUM(D23:D25)</f>
        <v>419594422.40000004</v>
      </c>
      <c r="E22" s="75">
        <f>SUM(E23:E25)</f>
        <v>504820872.71999997</v>
      </c>
      <c r="F22" s="75">
        <f>SUM(F23:F25)</f>
        <v>-85226450.320000008</v>
      </c>
      <c r="G22" s="125">
        <f t="shared" si="6"/>
        <v>-0.16882513169630972</v>
      </c>
      <c r="H22" s="46">
        <v>2701</v>
      </c>
      <c r="I22" s="76" t="s">
        <v>28</v>
      </c>
      <c r="J22" s="68"/>
      <c r="K22" s="74">
        <v>220057233</v>
      </c>
      <c r="L22" s="74">
        <v>613984513</v>
      </c>
      <c r="M22" s="74">
        <f>+K22-L22</f>
        <v>-393927280</v>
      </c>
      <c r="N22" s="112">
        <f>+M22/L22</f>
        <v>-0.64159155753819475</v>
      </c>
      <c r="P22" s="11">
        <f>+D23/$D$20*100</f>
        <v>24.512730980535991</v>
      </c>
      <c r="R22" s="11"/>
      <c r="S22" s="11"/>
    </row>
    <row r="23" spans="1:30" s="2" customFormat="1" ht="19.5" customHeight="1" x14ac:dyDescent="0.2">
      <c r="A23" s="116">
        <v>1510</v>
      </c>
      <c r="B23" s="76" t="s">
        <v>78</v>
      </c>
      <c r="C23" s="68"/>
      <c r="D23" s="74">
        <v>122380760.73</v>
      </c>
      <c r="E23" s="74">
        <v>135161289.28</v>
      </c>
      <c r="F23" s="74">
        <f>+D23-E23</f>
        <v>-12780528.549999997</v>
      </c>
      <c r="G23" s="126">
        <f t="shared" si="6"/>
        <v>-9.4557610526515956E-2</v>
      </c>
      <c r="H23" s="46"/>
      <c r="I23" s="76"/>
      <c r="J23" s="69"/>
      <c r="K23" s="74"/>
      <c r="L23" s="74"/>
      <c r="M23" s="74"/>
      <c r="N23" s="112"/>
      <c r="P23" s="11">
        <f>+D24/$D$20*100</f>
        <v>58.883477478798042</v>
      </c>
      <c r="R23" s="11"/>
      <c r="S23" s="11"/>
    </row>
    <row r="24" spans="1:30" s="2" customFormat="1" ht="20.25" customHeight="1" x14ac:dyDescent="0.2">
      <c r="A24" s="116">
        <v>1514</v>
      </c>
      <c r="B24" s="76" t="s">
        <v>79</v>
      </c>
      <c r="C24" s="68"/>
      <c r="D24" s="74">
        <v>293978046.50999999</v>
      </c>
      <c r="E24" s="74">
        <v>366267819.25</v>
      </c>
      <c r="F24" s="74">
        <f>+D24-E24</f>
        <v>-72289772.74000001</v>
      </c>
      <c r="G24" s="126">
        <f t="shared" si="6"/>
        <v>-0.197368616462201</v>
      </c>
      <c r="H24" s="47"/>
      <c r="I24" s="48"/>
      <c r="J24" s="69"/>
      <c r="K24" s="74"/>
      <c r="L24" s="74"/>
      <c r="M24" s="74"/>
      <c r="N24" s="112"/>
      <c r="P24" s="11"/>
      <c r="R24" s="11"/>
      <c r="S24" s="11">
        <f>+K21/$K$35*100</f>
        <v>49.145273092098932</v>
      </c>
      <c r="Y24" s="12"/>
    </row>
    <row r="25" spans="1:30" s="2" customFormat="1" ht="18.75" customHeight="1" x14ac:dyDescent="0.2">
      <c r="A25" s="109">
        <v>1530</v>
      </c>
      <c r="B25" s="41" t="s">
        <v>9</v>
      </c>
      <c r="C25" s="68"/>
      <c r="D25" s="74">
        <v>3235615.16</v>
      </c>
      <c r="E25" s="74">
        <v>3391764.19</v>
      </c>
      <c r="F25" s="74">
        <f t="shared" ref="F25" si="7">+D25-E25</f>
        <v>-156149.0299999998</v>
      </c>
      <c r="G25" s="126">
        <f t="shared" si="6"/>
        <v>-4.6037702284957432E-2</v>
      </c>
      <c r="H25" s="45">
        <v>29</v>
      </c>
      <c r="I25" s="44" t="s">
        <v>10</v>
      </c>
      <c r="J25" s="43"/>
      <c r="K25" s="75">
        <f>SUM(K26:K28)</f>
        <v>9204798926.9300003</v>
      </c>
      <c r="L25" s="75">
        <f t="shared" ref="L25:M25" si="8">SUM(L26:L28)</f>
        <v>5492305564.7200003</v>
      </c>
      <c r="M25" s="75">
        <f t="shared" si="8"/>
        <v>3712493362.21</v>
      </c>
      <c r="N25" s="111">
        <f>+M25/L25</f>
        <v>0.67594443143464544</v>
      </c>
      <c r="P25" s="11" t="e">
        <f>+#REF!/$D$9*100</f>
        <v>#REF!</v>
      </c>
      <c r="R25" s="11"/>
      <c r="S25" s="11"/>
      <c r="Z25" s="12"/>
    </row>
    <row r="26" spans="1:30" s="2" customFormat="1" ht="24.75" customHeight="1" x14ac:dyDescent="0.2">
      <c r="A26" s="114">
        <v>19</v>
      </c>
      <c r="B26" s="44" t="s">
        <v>11</v>
      </c>
      <c r="C26" s="43"/>
      <c r="D26" s="75">
        <f>SUM(D27:D27)</f>
        <v>13733447989.9</v>
      </c>
      <c r="E26" s="75">
        <f>SUM(E27:E27)</f>
        <v>575487691.38999999</v>
      </c>
      <c r="F26" s="75">
        <f>SUM(F27:F27)</f>
        <v>13157960298.51</v>
      </c>
      <c r="G26" s="125">
        <f t="shared" si="6"/>
        <v>22.864016894486515</v>
      </c>
      <c r="H26" s="46">
        <v>2902</v>
      </c>
      <c r="I26" s="76" t="s">
        <v>104</v>
      </c>
      <c r="J26" s="68"/>
      <c r="K26" s="74">
        <v>2593713637.71</v>
      </c>
      <c r="L26" s="74">
        <v>2188104290.2800002</v>
      </c>
      <c r="M26" s="74">
        <f>+K26-L26</f>
        <v>405609347.42999983</v>
      </c>
      <c r="N26" s="112">
        <f>+M26/L26</f>
        <v>0.18537020800690268</v>
      </c>
      <c r="R26" s="11"/>
      <c r="S26" s="11"/>
    </row>
    <row r="27" spans="1:30" s="2" customFormat="1" ht="23.25" customHeight="1" x14ac:dyDescent="0.2">
      <c r="A27" s="116">
        <v>1906</v>
      </c>
      <c r="B27" s="76" t="s">
        <v>8</v>
      </c>
      <c r="C27" s="69"/>
      <c r="D27" s="74">
        <v>13733447989.9</v>
      </c>
      <c r="E27" s="74">
        <v>575487691.38999999</v>
      </c>
      <c r="F27" s="74">
        <f>+D27-E27</f>
        <v>13157960298.51</v>
      </c>
      <c r="G27" s="126">
        <f t="shared" si="6"/>
        <v>22.864016894486515</v>
      </c>
      <c r="H27" s="41">
        <v>2910</v>
      </c>
      <c r="I27" s="76" t="s">
        <v>12</v>
      </c>
      <c r="J27" s="68"/>
      <c r="K27" s="74">
        <v>4561029807</v>
      </c>
      <c r="L27" s="74">
        <v>1461746055</v>
      </c>
      <c r="M27" s="74">
        <f>+K27-L27</f>
        <v>3099283752</v>
      </c>
      <c r="N27" s="112">
        <f>+M27/L27</f>
        <v>2.1202614102488546</v>
      </c>
      <c r="R27" s="11"/>
      <c r="S27" s="11"/>
    </row>
    <row r="28" spans="1:30" s="2" customFormat="1" ht="21.95" customHeight="1" x14ac:dyDescent="0.2">
      <c r="A28" s="109"/>
      <c r="B28" s="40" t="s">
        <v>80</v>
      </c>
      <c r="C28" s="43"/>
      <c r="D28" s="127">
        <f>D29+D32+D46+D48</f>
        <v>277171999559.62006</v>
      </c>
      <c r="E28" s="127">
        <f>E29+E32+E46+E48</f>
        <v>277502690903.98004</v>
      </c>
      <c r="F28" s="127">
        <f>F29+F32+F46+F48</f>
        <v>-330691344.36000007</v>
      </c>
      <c r="G28" s="128">
        <f>+F28/E28</f>
        <v>-1.191668964660325E-3</v>
      </c>
      <c r="H28" s="41" t="s">
        <v>155</v>
      </c>
      <c r="I28" s="76" t="s">
        <v>156</v>
      </c>
      <c r="J28" s="68"/>
      <c r="K28" s="74">
        <v>2050055482.22</v>
      </c>
      <c r="L28" s="74">
        <v>1842455219.4400001</v>
      </c>
      <c r="M28" s="74">
        <f>+K28-L28</f>
        <v>207600262.77999997</v>
      </c>
      <c r="N28" s="112">
        <f>+M28/L28</f>
        <v>0.11267587976607565</v>
      </c>
      <c r="R28" s="11"/>
      <c r="S28" s="11">
        <f>+K25/$K$35*100</f>
        <v>2055.703195276631</v>
      </c>
    </row>
    <row r="29" spans="1:30" s="2" customFormat="1" ht="21" customHeight="1" x14ac:dyDescent="0.2">
      <c r="A29" s="114">
        <v>13</v>
      </c>
      <c r="B29" s="44" t="s">
        <v>73</v>
      </c>
      <c r="C29" s="43"/>
      <c r="D29" s="75">
        <f>SUM(D30:D31)</f>
        <v>2841076.5800000131</v>
      </c>
      <c r="E29" s="75">
        <f>SUM(E30:E31)</f>
        <v>4978822.5800000131</v>
      </c>
      <c r="F29" s="75">
        <f>SUM(F30:F31)</f>
        <v>-2137746</v>
      </c>
      <c r="G29" s="125">
        <f>+F29/E29</f>
        <v>-0.42936778036384543</v>
      </c>
      <c r="H29" s="41"/>
      <c r="I29" s="76"/>
      <c r="J29" s="68"/>
      <c r="K29" s="74"/>
      <c r="L29" s="74"/>
      <c r="M29" s="74"/>
      <c r="N29" s="112"/>
      <c r="R29" s="11"/>
      <c r="S29" s="11"/>
    </row>
    <row r="30" spans="1:30" s="2" customFormat="1" ht="25.5" customHeight="1" x14ac:dyDescent="0.2">
      <c r="A30" s="116">
        <v>1385</v>
      </c>
      <c r="B30" s="76" t="s">
        <v>158</v>
      </c>
      <c r="C30" s="68"/>
      <c r="D30" s="74">
        <v>163212066</v>
      </c>
      <c r="E30" s="74">
        <v>163429248</v>
      </c>
      <c r="F30" s="74">
        <f t="shared" ref="F30:F31" si="9">+D30-E30</f>
        <v>-217182</v>
      </c>
      <c r="G30" s="126">
        <f t="shared" ref="G30:G31" si="10">+F30/E30</f>
        <v>-1.3289053376786021E-3</v>
      </c>
      <c r="H30" s="41"/>
      <c r="I30" s="40"/>
      <c r="J30" s="43"/>
      <c r="K30" s="75"/>
      <c r="L30" s="75"/>
      <c r="M30" s="75"/>
      <c r="N30" s="111"/>
      <c r="P30" s="11"/>
      <c r="R30" s="11"/>
      <c r="S30" s="11"/>
    </row>
    <row r="31" spans="1:30" s="2" customFormat="1" ht="24" customHeight="1" x14ac:dyDescent="0.2">
      <c r="A31" s="116">
        <v>1386</v>
      </c>
      <c r="B31" s="76" t="s">
        <v>76</v>
      </c>
      <c r="C31" s="68"/>
      <c r="D31" s="74">
        <v>-160370989.41999999</v>
      </c>
      <c r="E31" s="74">
        <v>-158450425.41999999</v>
      </c>
      <c r="F31" s="74">
        <f t="shared" si="9"/>
        <v>-1920564</v>
      </c>
      <c r="G31" s="126">
        <f t="shared" si="10"/>
        <v>1.2120914127615727E-2</v>
      </c>
      <c r="H31" s="46"/>
      <c r="I31" s="76"/>
      <c r="J31" s="68"/>
      <c r="K31" s="74"/>
      <c r="L31" s="74"/>
      <c r="M31" s="74"/>
      <c r="N31" s="112"/>
      <c r="P31" s="11" t="e">
        <f>+#REF!/$D$9*100</f>
        <v>#REF!</v>
      </c>
      <c r="R31" s="11"/>
      <c r="S31" s="11"/>
    </row>
    <row r="32" spans="1:30" s="2" customFormat="1" ht="17.25" customHeight="1" x14ac:dyDescent="0.2">
      <c r="A32" s="114">
        <v>16</v>
      </c>
      <c r="B32" s="45" t="s">
        <v>81</v>
      </c>
      <c r="C32" s="43"/>
      <c r="D32" s="75">
        <f>SUM(D33:D45)</f>
        <v>274968513470.48004</v>
      </c>
      <c r="E32" s="75">
        <f t="shared" ref="E32:F32" si="11">SUM(E33:E45)</f>
        <v>275214899488.84003</v>
      </c>
      <c r="F32" s="75">
        <f t="shared" si="11"/>
        <v>-246386018.36000007</v>
      </c>
      <c r="G32" s="125">
        <f>+F32/E32</f>
        <v>-8.9524956249685539E-4</v>
      </c>
      <c r="H32" s="41"/>
      <c r="I32" s="40" t="s">
        <v>105</v>
      </c>
      <c r="J32" s="130"/>
      <c r="K32" s="127">
        <f>+K34+K37</f>
        <v>447768868</v>
      </c>
      <c r="L32" s="127">
        <f t="shared" ref="L32:M32" si="12">+L34+L37</f>
        <v>488488009</v>
      </c>
      <c r="M32" s="127">
        <f t="shared" si="12"/>
        <v>-40719141</v>
      </c>
      <c r="N32" s="129">
        <f>+M32/L32</f>
        <v>-8.3357503663923097E-2</v>
      </c>
      <c r="P32" s="11"/>
      <c r="S32" s="11"/>
    </row>
    <row r="33" spans="1:26" s="2" customFormat="1" ht="16.5" customHeight="1" x14ac:dyDescent="0.2">
      <c r="A33" s="116">
        <v>1605</v>
      </c>
      <c r="B33" s="41" t="s">
        <v>14</v>
      </c>
      <c r="C33" s="68"/>
      <c r="D33" s="74">
        <v>233289491132.06</v>
      </c>
      <c r="E33" s="74">
        <v>233289491132.06</v>
      </c>
      <c r="F33" s="74">
        <f t="shared" ref="F33:F45" si="13">+D33-E33</f>
        <v>0</v>
      </c>
      <c r="G33" s="126">
        <f t="shared" ref="G33:G43" si="14">+F33/E33</f>
        <v>0</v>
      </c>
      <c r="H33" s="46"/>
      <c r="I33" s="76"/>
      <c r="J33" s="68"/>
      <c r="K33" s="74"/>
      <c r="L33" s="74"/>
      <c r="M33" s="74"/>
      <c r="N33" s="112"/>
      <c r="R33" s="11"/>
    </row>
    <row r="34" spans="1:26" s="2" customFormat="1" ht="21.75" customHeight="1" x14ac:dyDescent="0.2">
      <c r="A34" s="116">
        <v>1615</v>
      </c>
      <c r="B34" s="76" t="s">
        <v>82</v>
      </c>
      <c r="C34" s="155"/>
      <c r="D34" s="74">
        <v>249733128.78</v>
      </c>
      <c r="E34" s="74">
        <v>249733128.78</v>
      </c>
      <c r="F34" s="74">
        <f t="shared" si="13"/>
        <v>0</v>
      </c>
      <c r="G34" s="126">
        <f t="shared" si="14"/>
        <v>0</v>
      </c>
      <c r="H34" s="45">
        <v>25</v>
      </c>
      <c r="I34" s="90" t="s">
        <v>101</v>
      </c>
      <c r="J34" s="43"/>
      <c r="K34" s="75">
        <f>SUM(K35:K36)</f>
        <v>447768868</v>
      </c>
      <c r="L34" s="75">
        <f>SUM(L35:L36)</f>
        <v>488488009</v>
      </c>
      <c r="M34" s="75">
        <f>SUM(M35:M36)</f>
        <v>-40719141</v>
      </c>
      <c r="N34" s="111">
        <f>+M34/L34</f>
        <v>-8.3357503663923097E-2</v>
      </c>
      <c r="P34" s="11"/>
      <c r="S34" s="11"/>
    </row>
    <row r="35" spans="1:26" s="2" customFormat="1" ht="24" customHeight="1" x14ac:dyDescent="0.2">
      <c r="A35" s="116">
        <v>1635</v>
      </c>
      <c r="B35" s="76" t="s">
        <v>16</v>
      </c>
      <c r="C35" s="155"/>
      <c r="D35" s="74">
        <v>263269065</v>
      </c>
      <c r="E35" s="74">
        <v>358955615</v>
      </c>
      <c r="F35" s="74">
        <f t="shared" si="13"/>
        <v>-95686550</v>
      </c>
      <c r="G35" s="126">
        <f t="shared" si="14"/>
        <v>-0.26656930829735037</v>
      </c>
      <c r="H35" s="46">
        <v>2512</v>
      </c>
      <c r="I35" s="76" t="s">
        <v>106</v>
      </c>
      <c r="J35" s="68"/>
      <c r="K35" s="74">
        <v>447768868</v>
      </c>
      <c r="L35" s="74">
        <v>488488009</v>
      </c>
      <c r="M35" s="74">
        <f>+K35-L35</f>
        <v>-40719141</v>
      </c>
      <c r="N35" s="112">
        <f>+M35/L35</f>
        <v>-8.3357503663923097E-2</v>
      </c>
      <c r="R35" s="11" t="e">
        <f>+#REF!/$K$35*100</f>
        <v>#REF!</v>
      </c>
      <c r="S35" s="11"/>
    </row>
    <row r="36" spans="1:26" s="2" customFormat="1" ht="23.25" customHeight="1" x14ac:dyDescent="0.2">
      <c r="A36" s="116">
        <v>1637</v>
      </c>
      <c r="B36" s="76" t="s">
        <v>83</v>
      </c>
      <c r="C36" s="155"/>
      <c r="D36" s="74">
        <v>341862599</v>
      </c>
      <c r="E36" s="74">
        <v>306123319</v>
      </c>
      <c r="F36" s="74">
        <f t="shared" si="13"/>
        <v>35739280</v>
      </c>
      <c r="G36" s="126">
        <f t="shared" si="14"/>
        <v>0.11674798286111618</v>
      </c>
      <c r="H36" s="149"/>
      <c r="I36" s="76"/>
      <c r="J36" s="68"/>
      <c r="K36" s="74"/>
      <c r="L36" s="74"/>
      <c r="M36" s="74"/>
      <c r="N36" s="112"/>
      <c r="R36" s="11"/>
      <c r="S36" s="11"/>
    </row>
    <row r="37" spans="1:26" s="2" customFormat="1" ht="16.5" customHeight="1" x14ac:dyDescent="0.2">
      <c r="A37" s="116">
        <v>1640</v>
      </c>
      <c r="B37" s="76" t="s">
        <v>17</v>
      </c>
      <c r="C37" s="68"/>
      <c r="D37" s="74">
        <v>38322419893.5</v>
      </c>
      <c r="E37" s="74">
        <v>38322419893.5</v>
      </c>
      <c r="F37" s="74">
        <f t="shared" si="13"/>
        <v>0</v>
      </c>
      <c r="G37" s="126">
        <f t="shared" si="14"/>
        <v>0</v>
      </c>
      <c r="H37" s="45"/>
      <c r="I37" s="44"/>
      <c r="J37" s="43"/>
      <c r="K37" s="75"/>
      <c r="L37" s="75"/>
      <c r="M37" s="75"/>
      <c r="N37" s="111"/>
      <c r="R37" s="11"/>
      <c r="S37" s="11"/>
    </row>
    <row r="38" spans="1:26" s="2" customFormat="1" ht="16.5" customHeight="1" x14ac:dyDescent="0.2">
      <c r="A38" s="116">
        <v>1655</v>
      </c>
      <c r="B38" s="76" t="s">
        <v>19</v>
      </c>
      <c r="C38" s="155"/>
      <c r="D38" s="74">
        <v>1731231504.05</v>
      </c>
      <c r="E38" s="74">
        <v>1745911288.05</v>
      </c>
      <c r="F38" s="74">
        <f t="shared" si="13"/>
        <v>-14679784</v>
      </c>
      <c r="G38" s="126">
        <f t="shared" si="14"/>
        <v>-8.4080927252585553E-3</v>
      </c>
      <c r="H38" s="46"/>
      <c r="I38" s="76"/>
      <c r="J38" s="68"/>
      <c r="K38" s="74"/>
      <c r="L38" s="74"/>
      <c r="M38" s="74"/>
      <c r="N38" s="112"/>
      <c r="P38" s="39" t="e">
        <f>+#REF!/#REF!*100</f>
        <v>#REF!</v>
      </c>
      <c r="R38" s="11"/>
      <c r="S38" s="11"/>
      <c r="Z38" s="12"/>
    </row>
    <row r="39" spans="1:26" s="2" customFormat="1" ht="18" customHeight="1" x14ac:dyDescent="0.2">
      <c r="A39" s="116">
        <v>1660</v>
      </c>
      <c r="B39" s="76" t="s">
        <v>84</v>
      </c>
      <c r="C39" s="155"/>
      <c r="D39" s="74">
        <v>2395014790.6199999</v>
      </c>
      <c r="E39" s="74">
        <v>2323350832.6199999</v>
      </c>
      <c r="F39" s="74">
        <f t="shared" si="13"/>
        <v>71663958</v>
      </c>
      <c r="G39" s="126">
        <f t="shared" si="14"/>
        <v>3.0845086757382172E-2</v>
      </c>
      <c r="H39" s="41"/>
      <c r="I39" s="41"/>
      <c r="J39" s="68"/>
      <c r="K39" s="74"/>
      <c r="L39" s="74"/>
      <c r="M39" s="74"/>
      <c r="N39" s="112"/>
      <c r="R39" s="11"/>
    </row>
    <row r="40" spans="1:26" s="2" customFormat="1" ht="24.95" customHeight="1" x14ac:dyDescent="0.2">
      <c r="A40" s="116">
        <v>1665</v>
      </c>
      <c r="B40" s="76" t="s">
        <v>85</v>
      </c>
      <c r="C40" s="155"/>
      <c r="D40" s="74">
        <v>935051751.23000002</v>
      </c>
      <c r="E40" s="74">
        <v>924426251.23000002</v>
      </c>
      <c r="F40" s="74">
        <f t="shared" si="13"/>
        <v>10625500</v>
      </c>
      <c r="G40" s="126">
        <f t="shared" si="14"/>
        <v>1.1494156495298773E-2</v>
      </c>
      <c r="H40" s="41"/>
      <c r="I40" s="40" t="s">
        <v>13</v>
      </c>
      <c r="J40" s="43"/>
      <c r="K40" s="127">
        <f>+K9+K32</f>
        <v>26881747016.950001</v>
      </c>
      <c r="L40" s="127">
        <f t="shared" ref="L40:M40" si="15">+L9+L32</f>
        <v>22017801837.98</v>
      </c>
      <c r="M40" s="127">
        <f t="shared" si="15"/>
        <v>4863945178.9699993</v>
      </c>
      <c r="N40" s="129">
        <f>+M40/L40</f>
        <v>0.22090966277023397</v>
      </c>
      <c r="P40" s="39">
        <f>+D32/D53*100</f>
        <v>55.432875623929348</v>
      </c>
      <c r="R40" s="11"/>
      <c r="S40" s="11"/>
    </row>
    <row r="41" spans="1:26" s="2" customFormat="1" ht="24" customHeight="1" x14ac:dyDescent="0.2">
      <c r="A41" s="116">
        <v>1670</v>
      </c>
      <c r="B41" s="76" t="s">
        <v>86</v>
      </c>
      <c r="C41" s="155"/>
      <c r="D41" s="74">
        <v>10765342080.17</v>
      </c>
      <c r="E41" s="74">
        <v>10491248993.75</v>
      </c>
      <c r="F41" s="74">
        <f t="shared" si="13"/>
        <v>274093086.42000008</v>
      </c>
      <c r="G41" s="126">
        <f t="shared" si="14"/>
        <v>2.6125877536915462E-2</v>
      </c>
      <c r="H41" s="41"/>
      <c r="I41" s="40"/>
      <c r="J41" s="43"/>
      <c r="K41" s="180"/>
      <c r="L41" s="180"/>
      <c r="M41" s="180"/>
      <c r="N41" s="181"/>
      <c r="P41" s="11">
        <f>+D33/$D$32*100</f>
        <v>84.842256368784348</v>
      </c>
      <c r="R41" s="11"/>
      <c r="S41" s="11"/>
    </row>
    <row r="42" spans="1:26" s="2" customFormat="1" ht="24" customHeight="1" x14ac:dyDescent="0.2">
      <c r="A42" s="116">
        <v>1675</v>
      </c>
      <c r="B42" s="76" t="s">
        <v>87</v>
      </c>
      <c r="C42" s="155"/>
      <c r="D42" s="74">
        <v>1339741121</v>
      </c>
      <c r="E42" s="74">
        <v>1339741121</v>
      </c>
      <c r="F42" s="74">
        <f t="shared" si="13"/>
        <v>0</v>
      </c>
      <c r="G42" s="126">
        <f t="shared" si="14"/>
        <v>0</v>
      </c>
      <c r="H42" s="41"/>
      <c r="I42" s="40"/>
      <c r="J42" s="43"/>
      <c r="K42" s="75"/>
      <c r="L42" s="75"/>
      <c r="M42" s="75"/>
      <c r="N42" s="111"/>
      <c r="P42" s="11"/>
      <c r="R42" s="11"/>
      <c r="S42" s="11"/>
    </row>
    <row r="43" spans="1:26" s="2" customFormat="1" ht="21.95" customHeight="1" x14ac:dyDescent="0.2">
      <c r="A43" s="116">
        <v>1680</v>
      </c>
      <c r="B43" s="76" t="s">
        <v>88</v>
      </c>
      <c r="C43" s="155"/>
      <c r="D43" s="74">
        <v>374851954.25999999</v>
      </c>
      <c r="E43" s="74">
        <v>383947644.19999999</v>
      </c>
      <c r="F43" s="74">
        <f t="shared" si="13"/>
        <v>-9095689.9399999976</v>
      </c>
      <c r="G43" s="126">
        <f t="shared" si="14"/>
        <v>-2.3689922512617406E-2</v>
      </c>
      <c r="H43" s="47"/>
      <c r="I43" s="41"/>
      <c r="J43" s="68"/>
      <c r="K43" s="182"/>
      <c r="L43" s="182"/>
      <c r="M43" s="182"/>
      <c r="N43" s="183"/>
      <c r="P43" s="28">
        <f>+D34/$D$32*100</f>
        <v>9.0822445678607033E-2</v>
      </c>
      <c r="Q43" s="11">
        <f>+D32/D53*100</f>
        <v>55.432875623929348</v>
      </c>
      <c r="R43" s="11"/>
      <c r="S43" s="11"/>
    </row>
    <row r="44" spans="1:26" s="2" customFormat="1" ht="20.25" customHeight="1" x14ac:dyDescent="0.2">
      <c r="A44" s="116">
        <v>1681</v>
      </c>
      <c r="B44" s="76" t="s">
        <v>23</v>
      </c>
      <c r="C44" s="155"/>
      <c r="D44" s="74">
        <v>1435500037.78</v>
      </c>
      <c r="E44" s="74">
        <v>1425286682.78</v>
      </c>
      <c r="F44" s="74">
        <f t="shared" si="13"/>
        <v>10213355</v>
      </c>
      <c r="G44" s="126">
        <f>+F44/E44</f>
        <v>7.1658250395485396E-3</v>
      </c>
      <c r="H44" s="41"/>
      <c r="I44" s="186" t="s">
        <v>15</v>
      </c>
      <c r="J44" s="43"/>
      <c r="K44" s="127">
        <f>+K46</f>
        <v>453082170447.07001</v>
      </c>
      <c r="L44" s="127">
        <f>+L46</f>
        <v>454882533084.56</v>
      </c>
      <c r="M44" s="127">
        <f>+M46</f>
        <v>-1800362637.4900208</v>
      </c>
      <c r="N44" s="129">
        <f>+M44/L44</f>
        <v>-3.9578627591649995E-3</v>
      </c>
      <c r="R44" s="11"/>
      <c r="S44" s="11"/>
    </row>
    <row r="45" spans="1:26" s="2" customFormat="1" ht="25.5" customHeight="1" x14ac:dyDescent="0.2">
      <c r="A45" s="109">
        <v>1685</v>
      </c>
      <c r="B45" s="76" t="s">
        <v>89</v>
      </c>
      <c r="C45" s="68"/>
      <c r="D45" s="74">
        <v>-16474995586.969999</v>
      </c>
      <c r="E45" s="74">
        <v>-15945736413.129999</v>
      </c>
      <c r="F45" s="74">
        <f t="shared" si="13"/>
        <v>-529259173.84000015</v>
      </c>
      <c r="G45" s="126">
        <f>+F45/E45</f>
        <v>3.3191265685553341E-2</v>
      </c>
      <c r="H45" s="47"/>
      <c r="I45" s="41"/>
      <c r="J45" s="68"/>
      <c r="K45" s="75"/>
      <c r="L45" s="75"/>
      <c r="M45" s="75"/>
      <c r="N45" s="117"/>
      <c r="P45" s="11"/>
      <c r="R45" s="11"/>
      <c r="S45" s="11"/>
    </row>
    <row r="46" spans="1:26" s="2" customFormat="1" ht="33.75" x14ac:dyDescent="0.2">
      <c r="A46" s="114">
        <v>17</v>
      </c>
      <c r="B46" s="140" t="s">
        <v>21</v>
      </c>
      <c r="C46" s="43"/>
      <c r="D46" s="75">
        <f>+D47</f>
        <v>46206747.32</v>
      </c>
      <c r="E46" s="75">
        <f>+E47</f>
        <v>46206747.32</v>
      </c>
      <c r="F46" s="75">
        <f>+F47</f>
        <v>0</v>
      </c>
      <c r="G46" s="125">
        <f>+F46/E46</f>
        <v>0</v>
      </c>
      <c r="H46" s="45">
        <v>31</v>
      </c>
      <c r="I46" s="140" t="s">
        <v>116</v>
      </c>
      <c r="J46" s="43"/>
      <c r="K46" s="75">
        <f>SUM(K47:K50)</f>
        <v>453082170447.07001</v>
      </c>
      <c r="L46" s="75">
        <f>SUM(L47:L50)</f>
        <v>454882533084.56</v>
      </c>
      <c r="M46" s="75">
        <f>SUM(M47:M50)</f>
        <v>-1800362637.4900208</v>
      </c>
      <c r="N46" s="111">
        <f t="shared" ref="N46:N48" si="16">+M46/L46</f>
        <v>-3.9578627591649995E-3</v>
      </c>
      <c r="P46" s="11">
        <f>+D36/$D$32*100</f>
        <v>0.12432790747028626</v>
      </c>
      <c r="R46" s="11" t="e">
        <f>+K41/$K$38*100</f>
        <v>#DIV/0!</v>
      </c>
      <c r="S46" s="11"/>
    </row>
    <row r="47" spans="1:26" s="2" customFormat="1" ht="21.75" customHeight="1" x14ac:dyDescent="0.2">
      <c r="A47" s="116">
        <v>1715</v>
      </c>
      <c r="B47" s="48" t="s">
        <v>22</v>
      </c>
      <c r="C47" s="69"/>
      <c r="D47" s="74">
        <v>46206747.32</v>
      </c>
      <c r="E47" s="74">
        <v>46206747.32</v>
      </c>
      <c r="F47" s="74">
        <f>+D47-E47</f>
        <v>0</v>
      </c>
      <c r="G47" s="126">
        <f>+F47/E47</f>
        <v>0</v>
      </c>
      <c r="H47" s="46">
        <v>3105</v>
      </c>
      <c r="I47" s="76" t="s">
        <v>18</v>
      </c>
      <c r="J47" s="68"/>
      <c r="K47" s="74">
        <v>44239962579.480003</v>
      </c>
      <c r="L47" s="74">
        <v>44239962579.480003</v>
      </c>
      <c r="M47" s="74">
        <f>+K47-L47</f>
        <v>0</v>
      </c>
      <c r="N47" s="112">
        <f>+M47/L47</f>
        <v>0</v>
      </c>
      <c r="P47" s="28">
        <f>+D37/$D$32*100</f>
        <v>13.93702115555649</v>
      </c>
      <c r="R47" s="11" t="e">
        <f>+K44/$K$38*100</f>
        <v>#DIV/0!</v>
      </c>
      <c r="S47" s="11"/>
    </row>
    <row r="48" spans="1:26" s="2" customFormat="1" ht="30" customHeight="1" x14ac:dyDescent="0.2">
      <c r="A48" s="114">
        <v>19</v>
      </c>
      <c r="B48" s="44" t="s">
        <v>11</v>
      </c>
      <c r="C48" s="43"/>
      <c r="D48" s="75">
        <f>SUM(D49:D52)</f>
        <v>2154438265.2400002</v>
      </c>
      <c r="E48" s="75">
        <f>SUM(E49:E52)</f>
        <v>2236605845.2400002</v>
      </c>
      <c r="F48" s="75">
        <f>SUM(F49:F52)</f>
        <v>-82167580</v>
      </c>
      <c r="G48" s="125">
        <f t="shared" ref="G48" si="17">+F48/E48</f>
        <v>-3.6737621952867137E-2</v>
      </c>
      <c r="H48" s="46">
        <v>3109</v>
      </c>
      <c r="I48" s="76" t="s">
        <v>117</v>
      </c>
      <c r="J48" s="68"/>
      <c r="K48" s="74">
        <v>365186420179.53003</v>
      </c>
      <c r="L48" s="74">
        <v>365164662588.53003</v>
      </c>
      <c r="M48" s="74">
        <f>+K48-L48</f>
        <v>21757591</v>
      </c>
      <c r="N48" s="112">
        <f t="shared" si="16"/>
        <v>5.9582958673404272E-5</v>
      </c>
      <c r="P48" s="11">
        <f>+D39/$D$32*100</f>
        <v>0.87101419736813712</v>
      </c>
      <c r="R48" s="11" t="e">
        <f>+K45/$K$38*100</f>
        <v>#DIV/0!</v>
      </c>
      <c r="S48" s="11"/>
    </row>
    <row r="49" spans="1:26" s="2" customFormat="1" ht="17.25" customHeight="1" x14ac:dyDescent="0.2">
      <c r="A49" s="116"/>
      <c r="B49" s="76"/>
      <c r="C49" s="68"/>
      <c r="D49" s="74"/>
      <c r="E49" s="74"/>
      <c r="F49" s="74"/>
      <c r="G49" s="126"/>
      <c r="H49" s="46">
        <v>3110</v>
      </c>
      <c r="I49" s="76" t="s">
        <v>20</v>
      </c>
      <c r="J49" s="68"/>
      <c r="K49" s="74">
        <f>+'EST RESUL DICIEMBRE 2025-2024'!D78</f>
        <v>43655787688.059982</v>
      </c>
      <c r="L49" s="74">
        <v>45477907916.550003</v>
      </c>
      <c r="M49" s="74">
        <f>+K49-L49</f>
        <v>-1822120228.4900208</v>
      </c>
      <c r="N49" s="112">
        <f>+M49/L49</f>
        <v>-4.0066052111137847E-2</v>
      </c>
      <c r="P49" s="11">
        <f>+D40/$D$32*100</f>
        <v>0.34005775404185867</v>
      </c>
      <c r="R49" s="11" t="e">
        <f>+#REF!/$K$38*100</f>
        <v>#REF!</v>
      </c>
      <c r="S49" s="11"/>
    </row>
    <row r="50" spans="1:26" s="2" customFormat="1" ht="24.75" customHeight="1" x14ac:dyDescent="0.2">
      <c r="A50" s="116">
        <v>1909</v>
      </c>
      <c r="B50" s="76" t="s">
        <v>90</v>
      </c>
      <c r="C50" s="68"/>
      <c r="D50" s="74">
        <v>1263704</v>
      </c>
      <c r="E50" s="74">
        <v>0</v>
      </c>
      <c r="F50" s="74">
        <f>+D50-E50</f>
        <v>1263704</v>
      </c>
      <c r="G50" s="185" t="s">
        <v>6</v>
      </c>
      <c r="H50" s="46"/>
      <c r="I50" s="76"/>
      <c r="J50" s="68"/>
      <c r="K50" s="74"/>
      <c r="L50" s="74"/>
      <c r="M50" s="74"/>
      <c r="N50" s="112"/>
      <c r="P50" s="28">
        <f>+D41/$D$32*100</f>
        <v>3.9151181145421368</v>
      </c>
      <c r="R50" s="11"/>
      <c r="S50" s="11"/>
    </row>
    <row r="51" spans="1:26" s="2" customFormat="1" ht="17.25" customHeight="1" x14ac:dyDescent="0.2">
      <c r="A51" s="116">
        <v>1970</v>
      </c>
      <c r="B51" s="76" t="s">
        <v>91</v>
      </c>
      <c r="C51" s="68"/>
      <c r="D51" s="74">
        <v>3165338164.6700001</v>
      </c>
      <c r="E51" s="74">
        <v>3163011364.6700001</v>
      </c>
      <c r="F51" s="74">
        <f>+D51-E51</f>
        <v>2326800</v>
      </c>
      <c r="G51" s="126">
        <f t="shared" ref="G51:G52" si="18">+F51/E51</f>
        <v>7.3562808720504147E-4</v>
      </c>
      <c r="H51" s="41"/>
      <c r="I51" s="41"/>
      <c r="J51" s="68"/>
      <c r="K51" s="74"/>
      <c r="L51" s="74"/>
      <c r="M51" s="74"/>
      <c r="N51" s="117"/>
      <c r="P51" s="11">
        <f>+D42/$D$32*100</f>
        <v>0.48723437607114656</v>
      </c>
      <c r="R51" s="11"/>
      <c r="S51" s="11"/>
      <c r="Y51" s="12"/>
    </row>
    <row r="52" spans="1:26" s="2" customFormat="1" ht="22.5" customHeight="1" x14ac:dyDescent="0.2">
      <c r="A52" s="109">
        <v>1975</v>
      </c>
      <c r="B52" s="76" t="s">
        <v>92</v>
      </c>
      <c r="C52" s="68"/>
      <c r="D52" s="74">
        <v>-1012163603.4299999</v>
      </c>
      <c r="E52" s="74">
        <v>-926405519.42999995</v>
      </c>
      <c r="F52" s="74">
        <f>+D52-E52</f>
        <v>-85758084</v>
      </c>
      <c r="G52" s="126">
        <f t="shared" si="18"/>
        <v>9.2570782666283505E-2</v>
      </c>
      <c r="H52" s="41"/>
      <c r="I52" s="41"/>
      <c r="J52" s="68"/>
      <c r="K52" s="74"/>
      <c r="L52" s="74"/>
      <c r="M52" s="74"/>
      <c r="N52" s="117"/>
      <c r="P52" s="11">
        <f>+D43/$D$32*100</f>
        <v>0.13632541032747852</v>
      </c>
      <c r="R52" s="11"/>
      <c r="S52" s="11"/>
      <c r="Y52" s="12"/>
      <c r="Z52" s="12"/>
    </row>
    <row r="53" spans="1:26" s="2" customFormat="1" ht="27" customHeight="1" thickBot="1" x14ac:dyDescent="0.25">
      <c r="A53" s="133"/>
      <c r="B53" s="134" t="s">
        <v>24</v>
      </c>
      <c r="C53" s="135"/>
      <c r="D53" s="136">
        <f>+D9+D28</f>
        <v>496038696126.71008</v>
      </c>
      <c r="E53" s="136">
        <f>+E9+E28</f>
        <v>476900334922.54004</v>
      </c>
      <c r="F53" s="136">
        <f>+F9+F28</f>
        <v>19138361204.170006</v>
      </c>
      <c r="G53" s="137">
        <f>+F53/E53</f>
        <v>4.0130735507406451E-2</v>
      </c>
      <c r="H53" s="138"/>
      <c r="I53" s="134" t="s">
        <v>25</v>
      </c>
      <c r="J53" s="135"/>
      <c r="K53" s="136">
        <f>+K40+K44</f>
        <v>479963917464.02002</v>
      </c>
      <c r="L53" s="136">
        <f>+L40+L44</f>
        <v>476900334922.53998</v>
      </c>
      <c r="M53" s="136">
        <f>+M40+M44</f>
        <v>3063582541.4799786</v>
      </c>
      <c r="N53" s="139">
        <f>+M53/L53</f>
        <v>6.423947137670972E-3</v>
      </c>
      <c r="R53" s="11"/>
      <c r="S53" s="11"/>
      <c r="Y53" s="12"/>
      <c r="Z53" s="12"/>
    </row>
    <row r="54" spans="1:26" s="2" customFormat="1" ht="27" customHeight="1" x14ac:dyDescent="0.2">
      <c r="A54" s="144">
        <v>8</v>
      </c>
      <c r="B54" s="141" t="s">
        <v>26</v>
      </c>
      <c r="C54" s="142"/>
      <c r="D54" s="143">
        <f>+D55+D61+D58</f>
        <v>0</v>
      </c>
      <c r="E54" s="143">
        <f>+E55+E61+E58</f>
        <v>0</v>
      </c>
      <c r="F54" s="143">
        <f>+F55+F61+F58</f>
        <v>0</v>
      </c>
      <c r="G54" s="167">
        <v>0</v>
      </c>
      <c r="H54" s="168">
        <v>9</v>
      </c>
      <c r="I54" s="156" t="s">
        <v>27</v>
      </c>
      <c r="J54" s="142"/>
      <c r="K54" s="143">
        <f>+K55+K59+K61</f>
        <v>0</v>
      </c>
      <c r="L54" s="143">
        <f>+L55+L59+L61</f>
        <v>0</v>
      </c>
      <c r="M54" s="143">
        <f>+M55+M59+M61</f>
        <v>0</v>
      </c>
      <c r="N54" s="145">
        <v>0</v>
      </c>
      <c r="Q54" s="11" t="e">
        <f>+#REF!/D53*100</f>
        <v>#REF!</v>
      </c>
      <c r="R54" s="11"/>
      <c r="S54" s="11"/>
    </row>
    <row r="55" spans="1:26" s="2" customFormat="1" ht="20.25" customHeight="1" x14ac:dyDescent="0.2">
      <c r="A55" s="114">
        <v>81</v>
      </c>
      <c r="B55" s="40" t="s">
        <v>107</v>
      </c>
      <c r="C55" s="43"/>
      <c r="D55" s="75">
        <f>SUM(D56:D57)</f>
        <v>547763833.13999999</v>
      </c>
      <c r="E55" s="75">
        <f t="shared" ref="E55:F55" si="19">SUM(E56:E57)</f>
        <v>752063177</v>
      </c>
      <c r="F55" s="75">
        <f t="shared" si="19"/>
        <v>-204299343.86000001</v>
      </c>
      <c r="G55" s="166">
        <f>+F55/E55</f>
        <v>-0.27165183738280541</v>
      </c>
      <c r="H55" s="169">
        <v>91</v>
      </c>
      <c r="I55" s="44" t="s">
        <v>111</v>
      </c>
      <c r="J55" s="43"/>
      <c r="K55" s="75">
        <f>SUM(K56:K58)</f>
        <v>3661603200.6799998</v>
      </c>
      <c r="L55" s="75">
        <f>SUM(L56:L58)</f>
        <v>3679120741.6799998</v>
      </c>
      <c r="M55" s="75">
        <f>SUM(M56:M58)</f>
        <v>-17517541</v>
      </c>
      <c r="N55" s="111">
        <f>+M55/L55</f>
        <v>-4.7613389801393008E-3</v>
      </c>
      <c r="R55" s="11"/>
      <c r="S55" s="11"/>
    </row>
    <row r="56" spans="1:26" s="2" customFormat="1" ht="21.75" customHeight="1" x14ac:dyDescent="0.2">
      <c r="A56" s="113">
        <v>8120</v>
      </c>
      <c r="B56" s="76" t="s">
        <v>108</v>
      </c>
      <c r="C56" s="68"/>
      <c r="D56" s="74">
        <v>13544742</v>
      </c>
      <c r="E56" s="74">
        <v>15528742</v>
      </c>
      <c r="F56" s="74">
        <f>+D56-E56</f>
        <v>-1984000</v>
      </c>
      <c r="G56" s="161">
        <f>+F56/E56</f>
        <v>-0.12776308602461164</v>
      </c>
      <c r="H56" s="164">
        <v>9120</v>
      </c>
      <c r="I56" s="76" t="s">
        <v>108</v>
      </c>
      <c r="J56" s="68"/>
      <c r="K56" s="74">
        <v>247891726.68000001</v>
      </c>
      <c r="L56" s="74">
        <v>265409267.68000001</v>
      </c>
      <c r="M56" s="74">
        <f>+K56-L56</f>
        <v>-17517541</v>
      </c>
      <c r="N56" s="112">
        <f t="shared" ref="N56" si="20">+M56/L56</f>
        <v>-6.6001994403302594E-2</v>
      </c>
      <c r="O56" s="12"/>
      <c r="Q56" s="12"/>
      <c r="R56" s="11"/>
      <c r="S56" s="11"/>
    </row>
    <row r="57" spans="1:26" s="2" customFormat="1" ht="24" customHeight="1" x14ac:dyDescent="0.2">
      <c r="A57" s="113">
        <v>8190</v>
      </c>
      <c r="B57" s="76" t="s">
        <v>109</v>
      </c>
      <c r="C57" s="68"/>
      <c r="D57" s="74">
        <v>534219091.13999999</v>
      </c>
      <c r="E57" s="74">
        <v>736534435</v>
      </c>
      <c r="F57" s="74">
        <f>+D57-E57</f>
        <v>-202315343.86000001</v>
      </c>
      <c r="G57" s="161">
        <f>+F57/E57</f>
        <v>-0.27468551943535408</v>
      </c>
      <c r="H57" s="164">
        <v>9190</v>
      </c>
      <c r="I57" s="76" t="s">
        <v>166</v>
      </c>
      <c r="J57" s="68"/>
      <c r="K57" s="74">
        <v>3413711474</v>
      </c>
      <c r="L57" s="74">
        <v>3413711474</v>
      </c>
      <c r="M57" s="74">
        <f>+K57-L57</f>
        <v>0</v>
      </c>
      <c r="N57" s="112">
        <f t="shared" ref="N57" si="21">+M57/L57</f>
        <v>0</v>
      </c>
      <c r="P57" s="12">
        <f>+D53-K53</f>
        <v>16074778662.690063</v>
      </c>
    </row>
    <row r="58" spans="1:26" s="2" customFormat="1" ht="12" x14ac:dyDescent="0.2">
      <c r="A58" s="114"/>
      <c r="B58" s="90"/>
      <c r="C58" s="68"/>
      <c r="D58" s="78"/>
      <c r="E58" s="78"/>
      <c r="F58" s="78"/>
      <c r="G58" s="148"/>
      <c r="H58" s="164"/>
      <c r="I58" s="76"/>
      <c r="J58" s="68"/>
      <c r="K58" s="74"/>
      <c r="L58" s="74"/>
      <c r="M58" s="74"/>
      <c r="N58" s="112"/>
    </row>
    <row r="59" spans="1:26" s="2" customFormat="1" ht="20.25" customHeight="1" x14ac:dyDescent="0.2">
      <c r="A59" s="114"/>
      <c r="B59" s="90"/>
      <c r="C59" s="68"/>
      <c r="D59" s="78"/>
      <c r="E59" s="78"/>
      <c r="F59" s="78"/>
      <c r="G59" s="148"/>
      <c r="H59" s="169">
        <v>93</v>
      </c>
      <c r="I59" s="44" t="s">
        <v>177</v>
      </c>
      <c r="J59" s="43"/>
      <c r="K59" s="75">
        <f>SUM(K60)</f>
        <v>102054938.31</v>
      </c>
      <c r="L59" s="75">
        <f>SUM(L60)</f>
        <v>0</v>
      </c>
      <c r="M59" s="75">
        <f>SUM(M60)</f>
        <v>102054938.31</v>
      </c>
      <c r="N59" s="170" t="s">
        <v>6</v>
      </c>
    </row>
    <row r="60" spans="1:26" s="2" customFormat="1" ht="21" customHeight="1" x14ac:dyDescent="0.2">
      <c r="A60" s="114"/>
      <c r="B60" s="90"/>
      <c r="C60" s="68"/>
      <c r="D60" s="78"/>
      <c r="E60" s="78"/>
      <c r="F60" s="78"/>
      <c r="G60" s="148"/>
      <c r="H60" s="164">
        <v>9308</v>
      </c>
      <c r="I60" s="76" t="s">
        <v>178</v>
      </c>
      <c r="J60" s="68"/>
      <c r="K60" s="74">
        <v>102054938.31</v>
      </c>
      <c r="L60" s="74">
        <v>0</v>
      </c>
      <c r="M60" s="74">
        <f>+K60-L60</f>
        <v>102054938.31</v>
      </c>
      <c r="N60" s="115" t="s">
        <v>6</v>
      </c>
    </row>
    <row r="61" spans="1:26" s="2" customFormat="1" ht="33" customHeight="1" x14ac:dyDescent="0.2">
      <c r="A61" s="114">
        <v>89</v>
      </c>
      <c r="B61" s="44" t="s">
        <v>164</v>
      </c>
      <c r="C61" s="43"/>
      <c r="D61" s="75">
        <f>SUM(D62:D63)</f>
        <v>-547763833.13999999</v>
      </c>
      <c r="E61" s="75">
        <f>SUM(E62:E63)</f>
        <v>-752063177</v>
      </c>
      <c r="F61" s="75">
        <f>SUM(F62:F63)</f>
        <v>204299343.86000001</v>
      </c>
      <c r="G61" s="163">
        <f>+F61/E61</f>
        <v>-0.27165183738280541</v>
      </c>
      <c r="H61" s="165">
        <v>99</v>
      </c>
      <c r="I61" s="90" t="s">
        <v>163</v>
      </c>
      <c r="J61" s="43"/>
      <c r="K61" s="78">
        <f>SUM(K62:K63)</f>
        <v>-3763658138.9899998</v>
      </c>
      <c r="L61" s="78">
        <f>SUM(L62:L63)</f>
        <v>-3679120741.6799998</v>
      </c>
      <c r="M61" s="78">
        <f>SUM(M62:M63)</f>
        <v>-84537397.310000002</v>
      </c>
      <c r="N61" s="111">
        <f>+M61/L61</f>
        <v>2.2977608848846212E-2</v>
      </c>
    </row>
    <row r="62" spans="1:26" s="2" customFormat="1" ht="22.5" x14ac:dyDescent="0.2">
      <c r="A62" s="113">
        <v>8905</v>
      </c>
      <c r="B62" s="76" t="s">
        <v>110</v>
      </c>
      <c r="C62" s="43"/>
      <c r="D62" s="74">
        <v>-547763833.13999999</v>
      </c>
      <c r="E62" s="74">
        <v>-752063177</v>
      </c>
      <c r="F62" s="74">
        <f>+D62-E62</f>
        <v>204299343.86000001</v>
      </c>
      <c r="G62" s="171">
        <f>+F62/E62</f>
        <v>-0.27165183738280541</v>
      </c>
      <c r="H62" s="49">
        <v>9905</v>
      </c>
      <c r="I62" s="76" t="s">
        <v>168</v>
      </c>
      <c r="J62" s="43"/>
      <c r="K62" s="74">
        <v>-3661603200.6799998</v>
      </c>
      <c r="L62" s="74">
        <v>-3679120741.6799998</v>
      </c>
      <c r="M62" s="74">
        <f>+K62-L62</f>
        <v>17517541</v>
      </c>
      <c r="N62" s="112">
        <f t="shared" ref="N62" si="22">+M62/L62</f>
        <v>-4.7613389801393008E-3</v>
      </c>
      <c r="V62" s="81"/>
    </row>
    <row r="63" spans="1:26" s="2" customFormat="1" ht="22.5" x14ac:dyDescent="0.2">
      <c r="A63" s="113"/>
      <c r="B63" s="76"/>
      <c r="C63" s="68"/>
      <c r="D63" s="79"/>
      <c r="E63" s="79"/>
      <c r="F63" s="74"/>
      <c r="G63" s="172"/>
      <c r="H63" s="49">
        <v>9915</v>
      </c>
      <c r="I63" s="76" t="s">
        <v>171</v>
      </c>
      <c r="J63" s="68"/>
      <c r="K63" s="74">
        <v>-102054938.31</v>
      </c>
      <c r="L63" s="74">
        <v>0</v>
      </c>
      <c r="M63" s="74">
        <f>+K63-L63</f>
        <v>-102054938.31</v>
      </c>
      <c r="N63" s="115" t="s">
        <v>6</v>
      </c>
      <c r="U63" s="81"/>
      <c r="V63" s="81"/>
    </row>
    <row r="64" spans="1:26" x14ac:dyDescent="0.2">
      <c r="A64" s="113"/>
      <c r="B64" s="76"/>
      <c r="C64" s="68"/>
      <c r="D64" s="79"/>
      <c r="E64" s="79"/>
      <c r="F64" s="74"/>
      <c r="G64" s="162"/>
      <c r="H64" s="49"/>
      <c r="I64" s="76"/>
      <c r="J64" s="68"/>
      <c r="K64" s="79"/>
      <c r="L64" s="79"/>
      <c r="M64" s="74"/>
      <c r="N64" s="115"/>
      <c r="O64" s="2"/>
      <c r="P64" s="2"/>
      <c r="Q64" s="2"/>
      <c r="R64" s="2"/>
      <c r="S64" s="2"/>
      <c r="T64" s="2"/>
    </row>
    <row r="65" spans="1:20" ht="42.75" customHeight="1" x14ac:dyDescent="0.2">
      <c r="A65" s="309" t="s">
        <v>187</v>
      </c>
      <c r="B65" s="310"/>
      <c r="C65" s="310"/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1"/>
      <c r="O65" s="2"/>
      <c r="P65" s="2"/>
      <c r="Q65" s="2"/>
      <c r="R65" s="2"/>
      <c r="S65" s="2"/>
      <c r="T65" s="2"/>
    </row>
    <row r="66" spans="1:20" ht="24" customHeight="1" x14ac:dyDescent="0.2">
      <c r="A66" s="103"/>
      <c r="B66" s="6"/>
      <c r="C66" s="70"/>
      <c r="D66" s="22"/>
      <c r="E66" s="5"/>
      <c r="F66" s="5"/>
      <c r="G66" s="5"/>
      <c r="H66" s="6"/>
      <c r="I66" s="22"/>
      <c r="J66" s="72"/>
      <c r="K66" s="22"/>
      <c r="L66" s="5"/>
      <c r="M66" s="5"/>
      <c r="N66" s="118"/>
    </row>
    <row r="67" spans="1:20" ht="28.5" customHeight="1" x14ac:dyDescent="0.2">
      <c r="A67" s="103"/>
      <c r="B67" s="6"/>
      <c r="C67" s="70"/>
      <c r="D67" s="22"/>
      <c r="E67" s="5"/>
      <c r="F67" s="5"/>
      <c r="G67" s="5"/>
      <c r="H67" s="6"/>
      <c r="I67" s="6"/>
      <c r="J67" s="70"/>
      <c r="K67" s="22"/>
      <c r="L67" s="5"/>
      <c r="M67" s="5"/>
      <c r="N67" s="118"/>
    </row>
    <row r="68" spans="1:20" x14ac:dyDescent="0.2">
      <c r="A68" s="153" t="s">
        <v>182</v>
      </c>
      <c r="B68" s="191"/>
      <c r="C68" s="192"/>
      <c r="D68" s="191"/>
      <c r="E68" s="192" t="s">
        <v>66</v>
      </c>
      <c r="F68" s="18"/>
      <c r="G68" s="18"/>
      <c r="H68" s="7"/>
      <c r="I68" s="7"/>
      <c r="J68" s="66"/>
      <c r="K68" s="82" t="s">
        <v>172</v>
      </c>
      <c r="L68" s="18"/>
      <c r="M68" s="5"/>
      <c r="N68" s="118"/>
    </row>
    <row r="69" spans="1:20" x14ac:dyDescent="0.2">
      <c r="A69" s="305" t="s">
        <v>183</v>
      </c>
      <c r="B69" s="306"/>
      <c r="C69" s="306"/>
      <c r="D69" s="306"/>
      <c r="E69" s="306" t="s">
        <v>67</v>
      </c>
      <c r="F69" s="306"/>
      <c r="G69" s="306"/>
      <c r="H69" s="306"/>
      <c r="I69" s="191"/>
      <c r="J69" s="191"/>
      <c r="K69" s="82" t="s">
        <v>29</v>
      </c>
      <c r="L69" s="91"/>
      <c r="M69" s="92"/>
      <c r="N69" s="119"/>
    </row>
    <row r="70" spans="1:20" x14ac:dyDescent="0.2">
      <c r="A70" s="307" t="s">
        <v>184</v>
      </c>
      <c r="B70" s="308"/>
      <c r="C70" s="308"/>
      <c r="D70" s="308"/>
      <c r="E70" s="325" t="s">
        <v>113</v>
      </c>
      <c r="F70" s="325"/>
      <c r="G70" s="325"/>
      <c r="H70" s="325"/>
      <c r="I70" s="7"/>
      <c r="J70" s="189"/>
      <c r="K70" s="190" t="s">
        <v>114</v>
      </c>
      <c r="L70" s="91"/>
      <c r="M70" s="92"/>
      <c r="N70" s="119"/>
    </row>
    <row r="71" spans="1:20" ht="13.5" thickBot="1" x14ac:dyDescent="0.25">
      <c r="A71" s="301"/>
      <c r="B71" s="302"/>
      <c r="C71" s="188"/>
      <c r="D71" s="120"/>
      <c r="E71" s="188"/>
      <c r="F71" s="188"/>
      <c r="G71" s="188"/>
      <c r="H71" s="188"/>
      <c r="I71" s="188"/>
      <c r="J71" s="188"/>
      <c r="K71" s="154" t="s">
        <v>115</v>
      </c>
      <c r="L71" s="121"/>
      <c r="M71" s="122"/>
      <c r="N71" s="123"/>
    </row>
    <row r="75" spans="1:20" ht="13.5" thickBot="1" x14ac:dyDescent="0.25">
      <c r="A75" s="81">
        <v>1</v>
      </c>
      <c r="B75" s="24" t="s">
        <v>30</v>
      </c>
      <c r="C75" s="24"/>
      <c r="D75" s="19">
        <v>2022</v>
      </c>
      <c r="E75" s="19">
        <v>2021</v>
      </c>
      <c r="K75" s="36" t="s">
        <v>175</v>
      </c>
    </row>
    <row r="77" spans="1:20" x14ac:dyDescent="0.2">
      <c r="A77" s="81">
        <v>1.1000000000000001</v>
      </c>
      <c r="B77" s="3" t="s">
        <v>31</v>
      </c>
      <c r="C77" s="8"/>
      <c r="D77" s="14">
        <f>+D9-K9</f>
        <v>192432718418.13998</v>
      </c>
      <c r="E77" s="14">
        <f>+E9-L9</f>
        <v>177868330189.57999</v>
      </c>
      <c r="F77" s="17" t="s">
        <v>32</v>
      </c>
      <c r="I77" s="14">
        <f>+D77-E77</f>
        <v>14564388228.559998</v>
      </c>
      <c r="J77" s="73"/>
      <c r="K77" s="111">
        <f>+I77/E77</f>
        <v>8.1882976092689602E-2</v>
      </c>
    </row>
    <row r="78" spans="1:20" hidden="1" x14ac:dyDescent="0.2">
      <c r="A78" s="81">
        <v>1.2</v>
      </c>
      <c r="B78" s="3" t="s">
        <v>33</v>
      </c>
      <c r="C78" s="8"/>
      <c r="D78" s="14">
        <f>+D9/K9</f>
        <v>8.279748713334838</v>
      </c>
      <c r="E78" s="14">
        <f>+E9/L9</f>
        <v>9.2616813337616204</v>
      </c>
      <c r="F78" s="17" t="s">
        <v>34</v>
      </c>
      <c r="I78" s="14">
        <f>+D78-E78</f>
        <v>-0.98193262042678242</v>
      </c>
      <c r="J78" s="73"/>
      <c r="K78" s="111">
        <f>+I78/E78</f>
        <v>-0.10602098960664323</v>
      </c>
    </row>
    <row r="80" spans="1:20" x14ac:dyDescent="0.2">
      <c r="A80" s="81">
        <v>2</v>
      </c>
      <c r="B80" s="3" t="s">
        <v>35</v>
      </c>
      <c r="C80" s="8"/>
      <c r="D80" s="14">
        <f>+K40/D53*100</f>
        <v>5.4192842669038912</v>
      </c>
      <c r="E80" s="14">
        <f>+L40/E53*100</f>
        <v>4.6168560232938844</v>
      </c>
      <c r="F80" s="17" t="s">
        <v>36</v>
      </c>
      <c r="I80" s="14">
        <f>+D80-E80</f>
        <v>0.80242824361000675</v>
      </c>
      <c r="J80" s="73"/>
      <c r="K80" s="111">
        <f>+I80/E80</f>
        <v>0.17380404317601317</v>
      </c>
    </row>
    <row r="82" spans="2:14" x14ac:dyDescent="0.2">
      <c r="B82" s="24"/>
      <c r="C82" s="24"/>
      <c r="D82" s="17" t="e">
        <f>+D9-#REF!</f>
        <v>#REF!</v>
      </c>
      <c r="E82" s="17"/>
      <c r="F82" s="18"/>
      <c r="G82" s="10"/>
      <c r="H82" s="25"/>
      <c r="I82" s="80"/>
      <c r="K82" s="9"/>
      <c r="L82" s="299"/>
      <c r="M82" s="299"/>
      <c r="N82" s="299"/>
    </row>
    <row r="83" spans="2:14" x14ac:dyDescent="0.2">
      <c r="D83" s="14" t="e">
        <f>+D82/K9</f>
        <v>#REF!</v>
      </c>
    </row>
    <row r="85" spans="2:14" x14ac:dyDescent="0.2">
      <c r="I85" s="14"/>
      <c r="J85" s="73"/>
    </row>
  </sheetData>
  <mergeCells count="24">
    <mergeCell ref="I6:I7"/>
    <mergeCell ref="J6:J7"/>
    <mergeCell ref="N6:N7"/>
    <mergeCell ref="A1:N1"/>
    <mergeCell ref="A2:N2"/>
    <mergeCell ref="A3:N3"/>
    <mergeCell ref="A4:N4"/>
    <mergeCell ref="A5:N5"/>
    <mergeCell ref="P6:Q6"/>
    <mergeCell ref="R6:S6"/>
    <mergeCell ref="A71:B71"/>
    <mergeCell ref="L82:N82"/>
    <mergeCell ref="A69:B69"/>
    <mergeCell ref="C69:D69"/>
    <mergeCell ref="E69:H69"/>
    <mergeCell ref="A70:B70"/>
    <mergeCell ref="C70:D70"/>
    <mergeCell ref="E70:H70"/>
    <mergeCell ref="A65:N65"/>
    <mergeCell ref="A6:A7"/>
    <mergeCell ref="B6:B7"/>
    <mergeCell ref="C6:C7"/>
    <mergeCell ref="G6:G7"/>
    <mergeCell ref="H6:H7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B9337DE63EBB4196184082924F21E1" ma:contentTypeVersion="18" ma:contentTypeDescription="Crear nuevo documento." ma:contentTypeScope="" ma:versionID="8d4891a26e048f09599a1423299faed6">
  <xsd:schema xmlns:xsd="http://www.w3.org/2001/XMLSchema" xmlns:xs="http://www.w3.org/2001/XMLSchema" xmlns:p="http://schemas.microsoft.com/office/2006/metadata/properties" xmlns:ns3="5259c430-9111-4fe8-9885-0482517866d7" xmlns:ns4="848c6564-7458-4a1e-985e-3daf28c914c8" targetNamespace="http://schemas.microsoft.com/office/2006/metadata/properties" ma:root="true" ma:fieldsID="1d6b6203e4612276bf9db135abf1a344" ns3:_="" ns4:_="">
    <xsd:import namespace="5259c430-9111-4fe8-9885-0482517866d7"/>
    <xsd:import namespace="848c6564-7458-4a1e-985e-3daf28c914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c430-9111-4fe8-9885-0482517866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6564-7458-4a1e-985e-3daf28c914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8c6564-7458-4a1e-985e-3daf28c914c8" xsi:nil="true"/>
  </documentManagement>
</p:properties>
</file>

<file path=customXml/itemProps1.xml><?xml version="1.0" encoding="utf-8"?>
<ds:datastoreItem xmlns:ds="http://schemas.openxmlformats.org/officeDocument/2006/customXml" ds:itemID="{220A9BFF-E02E-468B-AC9D-FBA69314DD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3DE4A7-B4DE-4711-8598-2EFAAB8E7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9c430-9111-4fe8-9885-0482517866d7"/>
    <ds:schemaRef ds:uri="848c6564-7458-4a1e-985e-3daf28c91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FD6B07-9AA5-4226-8F28-C5C9E151F6EB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48c6564-7458-4a1e-985e-3daf28c914c8"/>
    <ds:schemaRef ds:uri="http://purl.org/dc/terms/"/>
    <ds:schemaRef ds:uri="5259c430-9111-4fe8-9885-0482517866d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EST SIT FINAN DICIEMB 2025-2024</vt:lpstr>
      <vt:lpstr>EST RESUL DICIEMBRE 2025-2024</vt:lpstr>
      <vt:lpstr>EST SIT FINAN JUNI - MARZO 2025</vt:lpstr>
      <vt:lpstr>EST SIT FINAN SEPT-JUN 25</vt:lpstr>
      <vt:lpstr>EST SIT FINAN SEP Y JUN 2023</vt:lpstr>
      <vt:lpstr>'EST RESUL DICIEMBRE 2025-2024'!Área_de_impresión</vt:lpstr>
      <vt:lpstr>'EST SIT FINAN DICIEMB 2025-2024'!Área_de_impresión</vt:lpstr>
      <vt:lpstr>'EST SIT FINAN JUNI - MARZO 2025'!Área_de_impresión</vt:lpstr>
      <vt:lpstr>'EST SIT FINAN SEP Y JUN 2023'!Área_de_impresión</vt:lpstr>
      <vt:lpstr>'EST SIT FINAN SEPT-JUN 25'!Área_de_impresión</vt:lpstr>
      <vt:lpstr>'EST RESUL DICIEMBRE 2025-2024'!Títulos_a_imprimir</vt:lpstr>
      <vt:lpstr>'EST SIT FINAN DICIEMB 2025-2024'!Títulos_a_imprimir</vt:lpstr>
      <vt:lpstr>'EST SIT FINAN JUNI - MARZO 2025'!Títulos_a_imprimir</vt:lpstr>
      <vt:lpstr>'EST SIT FINAN SEP Y JUN 2023'!Títulos_a_imprimir</vt:lpstr>
      <vt:lpstr>'EST SIT FINAN SEPT-JUN 25'!Títulos_a_imprimir</vt:lpstr>
    </vt:vector>
  </TitlesOfParts>
  <Company>upn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upn</dc:creator>
  <cp:lastModifiedBy>MARYSOL GUERRA LEGUIZAMON</cp:lastModifiedBy>
  <cp:revision/>
  <cp:lastPrinted>2026-02-14T14:20:45Z</cp:lastPrinted>
  <dcterms:created xsi:type="dcterms:W3CDTF">2009-11-14T02:04:31Z</dcterms:created>
  <dcterms:modified xsi:type="dcterms:W3CDTF">2026-04-28T22:45:18Z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0x01010098B9337DE63EBB4196184082924F21E1</vt:lpwstr>
  </property>
</Properties>
</file>